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 Saul\Desktop\"/>
    </mc:Choice>
  </mc:AlternateContent>
  <bookViews>
    <workbookView xWindow="0" yWindow="0" windowWidth="25200" windowHeight="11027"/>
  </bookViews>
  <sheets>
    <sheet name="Übersicht" sheetId="1" r:id="rId1"/>
    <sheet name="Referenz" sheetId="2" r:id="rId2"/>
    <sheet name="Amort_A" sheetId="6" r:id="rId3"/>
    <sheet name="Amort_B" sheetId="8" r:id="rId4"/>
    <sheet name="Amort_C" sheetId="7" r:id="rId5"/>
    <sheet name="Amort_D" sheetId="5" r:id="rId6"/>
    <sheet name="Amort_E" sheetId="4" r:id="rId7"/>
  </sheets>
  <definedNames>
    <definedName name="_xlnm.Print_Area" localSheetId="0">Übersicht!$A$1:$I$60</definedName>
  </definedNames>
  <calcPr calcId="152511"/>
</workbook>
</file>

<file path=xl/calcChain.xml><?xml version="1.0" encoding="utf-8"?>
<calcChain xmlns="http://schemas.openxmlformats.org/spreadsheetml/2006/main">
  <c r="F34" i="1" l="1"/>
  <c r="G34" i="1"/>
  <c r="G35" i="1" s="1"/>
  <c r="H34" i="1"/>
  <c r="H35" i="1" s="1"/>
  <c r="F35" i="1"/>
  <c r="B10" i="2" l="1"/>
  <c r="B10" i="4" s="1"/>
  <c r="B9" i="2"/>
  <c r="B9" i="4" s="1"/>
  <c r="B8" i="2"/>
  <c r="B8" i="4" s="1"/>
  <c r="B36" i="4" s="1"/>
  <c r="B13" i="6"/>
  <c r="B12" i="2"/>
  <c r="D48" i="1"/>
  <c r="B11" i="6" s="1"/>
  <c r="E48" i="1"/>
  <c r="B11" i="8" s="1"/>
  <c r="B24" i="8" s="1"/>
  <c r="B32" i="8" s="1"/>
  <c r="F48" i="1"/>
  <c r="B11" i="7" s="1"/>
  <c r="B24" i="7" s="1"/>
  <c r="B32" i="7" s="1"/>
  <c r="G48" i="1"/>
  <c r="B11" i="5" s="1"/>
  <c r="B24" i="5" s="1"/>
  <c r="B32" i="5" s="1"/>
  <c r="H48" i="1"/>
  <c r="B11" i="4" s="1"/>
  <c r="B24" i="4" s="1"/>
  <c r="B32" i="4" s="1"/>
  <c r="C48" i="1"/>
  <c r="B11" i="2" s="1"/>
  <c r="B24" i="2" s="1"/>
  <c r="B32" i="2" s="1"/>
  <c r="B9" i="6" l="1"/>
  <c r="B24" i="6"/>
  <c r="B32" i="6" s="1"/>
  <c r="B25" i="6" s="1"/>
  <c r="B10" i="6"/>
  <c r="B10" i="8"/>
  <c r="B10" i="5"/>
  <c r="B23" i="4"/>
  <c r="C23" i="4" s="1"/>
  <c r="D23" i="4" s="1"/>
  <c r="B23" i="2"/>
  <c r="C23" i="2" s="1"/>
  <c r="D23" i="2" s="1"/>
  <c r="E23" i="2" s="1"/>
  <c r="B10" i="7"/>
  <c r="B9" i="8"/>
  <c r="B9" i="7"/>
  <c r="B9" i="5"/>
  <c r="B8" i="6"/>
  <c r="B8" i="8"/>
  <c r="B8" i="5"/>
  <c r="B36" i="2"/>
  <c r="B8" i="7"/>
  <c r="B25" i="8"/>
  <c r="B25" i="7"/>
  <c r="B25" i="5"/>
  <c r="B25" i="4"/>
  <c r="E23" i="4"/>
  <c r="B25" i="2"/>
  <c r="C25" i="2" l="1"/>
  <c r="C27" i="2" s="1"/>
  <c r="C29" i="2" s="1"/>
  <c r="D25" i="2"/>
  <c r="C26" i="2"/>
  <c r="B36" i="8"/>
  <c r="B23" i="8"/>
  <c r="C23" i="8" s="1"/>
  <c r="B36" i="7"/>
  <c r="B23" i="7"/>
  <c r="C23" i="7" s="1"/>
  <c r="D23" i="7" s="1"/>
  <c r="B36" i="5"/>
  <c r="B23" i="5"/>
  <c r="C23" i="5" s="1"/>
  <c r="D23" i="5" s="1"/>
  <c r="B36" i="6"/>
  <c r="B23" i="6"/>
  <c r="C23" i="6" s="1"/>
  <c r="C30" i="2"/>
  <c r="C31" i="2" s="1"/>
  <c r="C32" i="2" s="1"/>
  <c r="E23" i="7"/>
  <c r="F23" i="4"/>
  <c r="D27" i="2"/>
  <c r="D29" i="2" s="1"/>
  <c r="D26" i="2"/>
  <c r="F23" i="2"/>
  <c r="E25" i="2"/>
  <c r="D23" i="6" l="1"/>
  <c r="D23" i="8"/>
  <c r="E23" i="5"/>
  <c r="F23" i="7"/>
  <c r="G23" i="4"/>
  <c r="D30" i="2"/>
  <c r="C33" i="2"/>
  <c r="G23" i="2"/>
  <c r="F25" i="2"/>
  <c r="E26" i="2"/>
  <c r="E27" i="2"/>
  <c r="E29" i="2" s="1"/>
  <c r="C34" i="2"/>
  <c r="C37" i="2" s="1"/>
  <c r="F23" i="5" l="1"/>
  <c r="E23" i="8"/>
  <c r="E23" i="6"/>
  <c r="G23" i="7"/>
  <c r="H23" i="4"/>
  <c r="G25" i="2"/>
  <c r="H23" i="2"/>
  <c r="F27" i="2"/>
  <c r="F29" i="2" s="1"/>
  <c r="F26" i="2"/>
  <c r="D31" i="2"/>
  <c r="D32" i="2" s="1"/>
  <c r="F23" i="6" l="1"/>
  <c r="F23" i="8"/>
  <c r="G23" i="5"/>
  <c r="H23" i="7"/>
  <c r="I23" i="4"/>
  <c r="D33" i="2"/>
  <c r="E30" i="2"/>
  <c r="I23" i="2"/>
  <c r="H25" i="2"/>
  <c r="D34" i="2"/>
  <c r="D37" i="2" s="1"/>
  <c r="G26" i="2"/>
  <c r="G27" i="2"/>
  <c r="G29" i="2" s="1"/>
  <c r="G23" i="6" l="1"/>
  <c r="H23" i="5"/>
  <c r="G23" i="8"/>
  <c r="I23" i="7"/>
  <c r="J23" i="4"/>
  <c r="H27" i="2"/>
  <c r="H29" i="2" s="1"/>
  <c r="H26" i="2"/>
  <c r="J23" i="2"/>
  <c r="I25" i="2"/>
  <c r="E31" i="2"/>
  <c r="E32" i="2" s="1"/>
  <c r="I23" i="5" l="1"/>
  <c r="H23" i="8"/>
  <c r="H23" i="6"/>
  <c r="J23" i="7"/>
  <c r="K23" i="4"/>
  <c r="K23" i="2"/>
  <c r="J25" i="2"/>
  <c r="F30" i="2"/>
  <c r="F31" i="2"/>
  <c r="F32" i="2" s="1"/>
  <c r="E33" i="2"/>
  <c r="I26" i="2"/>
  <c r="I27" i="2"/>
  <c r="I29" i="2" s="1"/>
  <c r="E34" i="2"/>
  <c r="E37" i="2" s="1"/>
  <c r="I23" i="6" l="1"/>
  <c r="I23" i="8"/>
  <c r="J23" i="5"/>
  <c r="K23" i="7"/>
  <c r="L23" i="4"/>
  <c r="G30" i="2"/>
  <c r="G31" i="2" s="1"/>
  <c r="G32" i="2" s="1"/>
  <c r="F33" i="2"/>
  <c r="J27" i="2"/>
  <c r="J29" i="2" s="1"/>
  <c r="J26" i="2"/>
  <c r="F34" i="2"/>
  <c r="F37" i="2" s="1"/>
  <c r="K25" i="2"/>
  <c r="L23" i="2"/>
  <c r="K23" i="5" l="1"/>
  <c r="J23" i="6"/>
  <c r="J23" i="8"/>
  <c r="L23" i="7"/>
  <c r="M23" i="4"/>
  <c r="M23" i="2"/>
  <c r="L25" i="2"/>
  <c r="K26" i="2"/>
  <c r="K27" i="2"/>
  <c r="K29" i="2" s="1"/>
  <c r="G34" i="2"/>
  <c r="G37" i="2" s="1"/>
  <c r="H30" i="2"/>
  <c r="H31" i="2"/>
  <c r="H32" i="2" s="1"/>
  <c r="G33" i="2"/>
  <c r="L23" i="5" l="1"/>
  <c r="K23" i="8"/>
  <c r="K23" i="6"/>
  <c r="H34" i="2"/>
  <c r="H37" i="2" s="1"/>
  <c r="M23" i="7"/>
  <c r="N23" i="4"/>
  <c r="N23" i="2"/>
  <c r="M25" i="2"/>
  <c r="L27" i="2"/>
  <c r="L29" i="2" s="1"/>
  <c r="L26" i="2"/>
  <c r="H33" i="2"/>
  <c r="I30" i="2"/>
  <c r="L23" i="6" l="1"/>
  <c r="L23" i="8"/>
  <c r="M23" i="5"/>
  <c r="I31" i="2"/>
  <c r="I32" i="2" s="1"/>
  <c r="J31" i="2" s="1"/>
  <c r="J32" i="2" s="1"/>
  <c r="N23" i="7"/>
  <c r="O23" i="4"/>
  <c r="O23" i="2"/>
  <c r="N25" i="2"/>
  <c r="M26" i="2"/>
  <c r="M27" i="2"/>
  <c r="M29" i="2" s="1"/>
  <c r="J30" i="2" l="1"/>
  <c r="M23" i="8"/>
  <c r="M23" i="6"/>
  <c r="N23" i="5"/>
  <c r="I33" i="2"/>
  <c r="I34" i="2"/>
  <c r="I37" i="2" s="1"/>
  <c r="J34" i="2"/>
  <c r="J37" i="2" s="1"/>
  <c r="O23" i="7"/>
  <c r="P23" i="4"/>
  <c r="O25" i="2"/>
  <c r="P23" i="2"/>
  <c r="K31" i="2"/>
  <c r="K32" i="2" s="1"/>
  <c r="K30" i="2"/>
  <c r="J33" i="2"/>
  <c r="N27" i="2"/>
  <c r="N29" i="2" s="1"/>
  <c r="N26" i="2"/>
  <c r="N23" i="6" l="1"/>
  <c r="N23" i="8"/>
  <c r="O23" i="5"/>
  <c r="P23" i="7"/>
  <c r="Q23" i="4"/>
  <c r="L30" i="2"/>
  <c r="L31" i="2"/>
  <c r="L32" i="2" s="1"/>
  <c r="K33" i="2"/>
  <c r="K34" i="2"/>
  <c r="K37" i="2" s="1"/>
  <c r="Q23" i="2"/>
  <c r="P25" i="2"/>
  <c r="O26" i="2"/>
  <c r="O27" i="2"/>
  <c r="O29" i="2" s="1"/>
  <c r="O23" i="8" l="1"/>
  <c r="O23" i="6"/>
  <c r="P23" i="5"/>
  <c r="L34" i="2"/>
  <c r="L37" i="2" s="1"/>
  <c r="Q23" i="7"/>
  <c r="R23" i="4"/>
  <c r="P27" i="2"/>
  <c r="P29" i="2" s="1"/>
  <c r="P26" i="2"/>
  <c r="M31" i="2"/>
  <c r="M32" i="2" s="1"/>
  <c r="L33" i="2"/>
  <c r="M30" i="2"/>
  <c r="R23" i="2"/>
  <c r="Q25" i="2"/>
  <c r="Q23" i="5" l="1"/>
  <c r="P23" i="6"/>
  <c r="P23" i="8"/>
  <c r="M34" i="2"/>
  <c r="M37" i="2" s="1"/>
  <c r="R23" i="7"/>
  <c r="R25" i="4"/>
  <c r="S23" i="4"/>
  <c r="N30" i="2"/>
  <c r="N31" i="2"/>
  <c r="N32" i="2" s="1"/>
  <c r="M33" i="2"/>
  <c r="S23" i="2"/>
  <c r="R25" i="2"/>
  <c r="Q26" i="2"/>
  <c r="Q27" i="2"/>
  <c r="Q29" i="2" s="1"/>
  <c r="Q23" i="8" l="1"/>
  <c r="R23" i="5"/>
  <c r="Q23" i="6"/>
  <c r="N34" i="2"/>
  <c r="N37" i="2" s="1"/>
  <c r="R25" i="7"/>
  <c r="S23" i="7"/>
  <c r="S25" i="4"/>
  <c r="T23" i="4"/>
  <c r="R26" i="4"/>
  <c r="S25" i="2"/>
  <c r="T23" i="2"/>
  <c r="O31" i="2"/>
  <c r="O32" i="2" s="1"/>
  <c r="O30" i="2"/>
  <c r="N33" i="2"/>
  <c r="R27" i="2"/>
  <c r="R29" i="2" s="1"/>
  <c r="R26" i="2"/>
  <c r="R23" i="8" l="1"/>
  <c r="R23" i="6"/>
  <c r="S23" i="5"/>
  <c r="R25" i="5"/>
  <c r="S25" i="7"/>
  <c r="T23" i="7"/>
  <c r="R26" i="7"/>
  <c r="S26" i="4"/>
  <c r="T25" i="4"/>
  <c r="U23" i="4"/>
  <c r="P30" i="2"/>
  <c r="P31" i="2"/>
  <c r="P32" i="2" s="1"/>
  <c r="O33" i="2"/>
  <c r="O34" i="2"/>
  <c r="O37" i="2" s="1"/>
  <c r="U23" i="2"/>
  <c r="T25" i="2"/>
  <c r="S26" i="2"/>
  <c r="S27" i="2"/>
  <c r="S29" i="2" s="1"/>
  <c r="R26" i="5" l="1"/>
  <c r="S25" i="5"/>
  <c r="T23" i="5"/>
  <c r="R25" i="8"/>
  <c r="S23" i="8"/>
  <c r="R25" i="6"/>
  <c r="S23" i="6"/>
  <c r="P34" i="2"/>
  <c r="P37" i="2" s="1"/>
  <c r="S26" i="7"/>
  <c r="T25" i="7"/>
  <c r="U23" i="7"/>
  <c r="U25" i="4"/>
  <c r="V23" i="4"/>
  <c r="T26" i="4"/>
  <c r="V23" i="2"/>
  <c r="U25" i="2"/>
  <c r="T27" i="2"/>
  <c r="T29" i="2" s="1"/>
  <c r="T26" i="2"/>
  <c r="Q31" i="2"/>
  <c r="Q32" i="2" s="1"/>
  <c r="P33" i="2"/>
  <c r="Q30" i="2"/>
  <c r="R26" i="6" l="1"/>
  <c r="R26" i="8"/>
  <c r="U23" i="5"/>
  <c r="T25" i="5"/>
  <c r="T23" i="6"/>
  <c r="S25" i="6"/>
  <c r="T23" i="8"/>
  <c r="S25" i="8"/>
  <c r="S26" i="5"/>
  <c r="U25" i="7"/>
  <c r="V23" i="7"/>
  <c r="T26" i="7"/>
  <c r="U26" i="4"/>
  <c r="V25" i="4"/>
  <c r="W23" i="4"/>
  <c r="R30" i="2"/>
  <c r="Q33" i="2"/>
  <c r="R31" i="2"/>
  <c r="R32" i="2" s="1"/>
  <c r="U26" i="2"/>
  <c r="U27" i="2"/>
  <c r="U29" i="2" s="1"/>
  <c r="Q34" i="2"/>
  <c r="Q37" i="2" s="1"/>
  <c r="W23" i="2"/>
  <c r="V25" i="2"/>
  <c r="U23" i="8" l="1"/>
  <c r="T25" i="8"/>
  <c r="S26" i="6"/>
  <c r="U25" i="5"/>
  <c r="V23" i="5"/>
  <c r="S26" i="8"/>
  <c r="T25" i="6"/>
  <c r="U23" i="6"/>
  <c r="T26" i="5"/>
  <c r="R34" i="2"/>
  <c r="R37" i="2" s="1"/>
  <c r="U26" i="7"/>
  <c r="V25" i="7"/>
  <c r="W23" i="7"/>
  <c r="W25" i="4"/>
  <c r="X23" i="4"/>
  <c r="V26" i="4"/>
  <c r="S30" i="2"/>
  <c r="S31" i="2"/>
  <c r="S32" i="2" s="1"/>
  <c r="R33" i="2"/>
  <c r="W25" i="2"/>
  <c r="X23" i="2"/>
  <c r="V27" i="2"/>
  <c r="V29" i="2" s="1"/>
  <c r="V26" i="2"/>
  <c r="W23" i="5" l="1"/>
  <c r="V25" i="5"/>
  <c r="U25" i="6"/>
  <c r="V23" i="6"/>
  <c r="U26" i="5"/>
  <c r="T26" i="8"/>
  <c r="T26" i="6"/>
  <c r="V23" i="8"/>
  <c r="U25" i="8"/>
  <c r="S34" i="2"/>
  <c r="S37" i="2" s="1"/>
  <c r="W25" i="7"/>
  <c r="X23" i="7"/>
  <c r="V26" i="7"/>
  <c r="W26" i="4"/>
  <c r="X25" i="4"/>
  <c r="Y23" i="4"/>
  <c r="W26" i="2"/>
  <c r="W27" i="2"/>
  <c r="W29" i="2" s="1"/>
  <c r="T30" i="2"/>
  <c r="T31" i="2"/>
  <c r="T32" i="2" s="1"/>
  <c r="S33" i="2"/>
  <c r="Y23" i="2"/>
  <c r="X25" i="2"/>
  <c r="W23" i="8" l="1"/>
  <c r="V25" i="8"/>
  <c r="U26" i="6"/>
  <c r="V26" i="5"/>
  <c r="U26" i="8"/>
  <c r="W23" i="6"/>
  <c r="V25" i="6"/>
  <c r="W25" i="5"/>
  <c r="X23" i="5"/>
  <c r="W26" i="7"/>
  <c r="X25" i="7"/>
  <c r="Y23" i="7"/>
  <c r="Y25" i="4"/>
  <c r="Z23" i="4"/>
  <c r="X26" i="4"/>
  <c r="U31" i="2"/>
  <c r="U32" i="2" s="1"/>
  <c r="T33" i="2"/>
  <c r="U30" i="2"/>
  <c r="Z23" i="2"/>
  <c r="Y25" i="2"/>
  <c r="T34" i="2"/>
  <c r="T37" i="2" s="1"/>
  <c r="X27" i="2"/>
  <c r="X29" i="2" s="1"/>
  <c r="X26" i="2"/>
  <c r="V26" i="6" l="1"/>
  <c r="W25" i="8"/>
  <c r="X23" i="8"/>
  <c r="W26" i="5"/>
  <c r="X23" i="6"/>
  <c r="W25" i="6"/>
  <c r="V26" i="8"/>
  <c r="X25" i="5"/>
  <c r="Y23" i="5"/>
  <c r="Y25" i="7"/>
  <c r="Z23" i="7"/>
  <c r="X26" i="7"/>
  <c r="Y26" i="4"/>
  <c r="Z25" i="4"/>
  <c r="AA23" i="4"/>
  <c r="V30" i="2"/>
  <c r="U33" i="2"/>
  <c r="V31" i="2"/>
  <c r="V32" i="2" s="1"/>
  <c r="Y26" i="2"/>
  <c r="Y27" i="2"/>
  <c r="Y29" i="2" s="1"/>
  <c r="U34" i="2"/>
  <c r="U37" i="2" s="1"/>
  <c r="AA23" i="2"/>
  <c r="Z25" i="2"/>
  <c r="Y25" i="5" l="1"/>
  <c r="Z23" i="5"/>
  <c r="X25" i="6"/>
  <c r="Y23" i="6"/>
  <c r="Y23" i="8"/>
  <c r="X25" i="8"/>
  <c r="X26" i="5"/>
  <c r="W26" i="6"/>
  <c r="W26" i="8"/>
  <c r="Y26" i="7"/>
  <c r="Z25" i="7"/>
  <c r="AA23" i="7"/>
  <c r="AA25" i="4"/>
  <c r="AB22" i="4"/>
  <c r="Z26" i="4"/>
  <c r="W30" i="2"/>
  <c r="W31" i="2"/>
  <c r="W32" i="2" s="1"/>
  <c r="V33" i="2"/>
  <c r="Z27" i="2"/>
  <c r="Z29" i="2" s="1"/>
  <c r="Z26" i="2"/>
  <c r="AA25" i="2"/>
  <c r="AB22" i="2"/>
  <c r="V34" i="2"/>
  <c r="V37" i="2" s="1"/>
  <c r="X26" i="8" l="1"/>
  <c r="Y25" i="6"/>
  <c r="Z23" i="6"/>
  <c r="AA23" i="5"/>
  <c r="Z25" i="5"/>
  <c r="Z23" i="8"/>
  <c r="Y25" i="8"/>
  <c r="X26" i="6"/>
  <c r="Y26" i="5"/>
  <c r="W34" i="2"/>
  <c r="W37" i="2" s="1"/>
  <c r="AA25" i="7"/>
  <c r="AB22" i="7"/>
  <c r="Z26" i="7"/>
  <c r="AA26" i="4"/>
  <c r="AA26" i="2"/>
  <c r="AA27" i="2"/>
  <c r="AA29" i="2" s="1"/>
  <c r="C16" i="2" s="1"/>
  <c r="B16" i="2"/>
  <c r="B19" i="2"/>
  <c r="X30" i="2"/>
  <c r="X31" i="2"/>
  <c r="X32" i="2" s="1"/>
  <c r="W33" i="2"/>
  <c r="Z25" i="8" l="1"/>
  <c r="AA23" i="8"/>
  <c r="AB22" i="5"/>
  <c r="AA25" i="5"/>
  <c r="Z25" i="6"/>
  <c r="AA23" i="6"/>
  <c r="Y26" i="8"/>
  <c r="Z26" i="5"/>
  <c r="Y26" i="6"/>
  <c r="AA26" i="7"/>
  <c r="Y31" i="2"/>
  <c r="Y32" i="2" s="1"/>
  <c r="X33" i="2"/>
  <c r="Y30" i="2"/>
  <c r="X34" i="2"/>
  <c r="X37" i="2" s="1"/>
  <c r="Y34" i="2" l="1"/>
  <c r="Z26" i="6"/>
  <c r="Z26" i="8"/>
  <c r="AB22" i="6"/>
  <c r="AA25" i="6"/>
  <c r="AA26" i="5"/>
  <c r="AB22" i="8"/>
  <c r="AA25" i="8"/>
  <c r="Z30" i="2"/>
  <c r="Y33" i="2"/>
  <c r="Z31" i="2"/>
  <c r="Z32" i="2" s="1"/>
  <c r="Y37" i="2"/>
  <c r="AA26" i="8" l="1"/>
  <c r="AA26" i="6"/>
  <c r="Z34" i="2"/>
  <c r="Z37" i="2" s="1"/>
  <c r="AA30" i="2"/>
  <c r="AA31" i="2"/>
  <c r="AA32" i="2" s="1"/>
  <c r="AA33" i="2" s="1"/>
  <c r="Z33" i="2"/>
  <c r="C17" i="2" l="1"/>
  <c r="AA34" i="2"/>
  <c r="AA37" i="2" s="1"/>
  <c r="B37" i="2" s="1"/>
  <c r="B18" i="2" s="1"/>
  <c r="B17" i="2" l="1"/>
  <c r="C8" i="1"/>
  <c r="C11" i="1"/>
  <c r="D38" i="1" s="1"/>
  <c r="C17" i="1"/>
  <c r="E38" i="1"/>
  <c r="C38" i="1" l="1"/>
  <c r="G38" i="1"/>
  <c r="F6" i="1"/>
  <c r="H38" i="1"/>
  <c r="F38" i="1"/>
  <c r="C18" i="1"/>
  <c r="C19" i="1" l="1"/>
  <c r="F42" i="1" s="1"/>
  <c r="F43" i="1" s="1"/>
  <c r="F44" i="1" s="1"/>
  <c r="F49" i="1" s="1"/>
  <c r="F7" i="1"/>
  <c r="D42" i="1"/>
  <c r="D43" i="1" s="1"/>
  <c r="D44" i="1" s="1"/>
  <c r="D49" i="1" s="1"/>
  <c r="H42" i="1"/>
  <c r="H43" i="1" s="1"/>
  <c r="H44" i="1" s="1"/>
  <c r="H49" i="1" s="1"/>
  <c r="G42" i="1"/>
  <c r="G43" i="1" s="1"/>
  <c r="G44" i="1" s="1"/>
  <c r="G49" i="1" s="1"/>
  <c r="E39" i="1"/>
  <c r="C39" i="1"/>
  <c r="F39" i="1"/>
  <c r="H39" i="1" l="1"/>
  <c r="D39" i="1"/>
  <c r="G39" i="1"/>
  <c r="C42" i="1"/>
  <c r="C43" i="1" s="1"/>
  <c r="C44" i="1" s="1"/>
  <c r="F46" i="1" s="1"/>
  <c r="B12" i="7" s="1"/>
  <c r="E42" i="1"/>
  <c r="E43" i="1" s="1"/>
  <c r="E44" i="1" s="1"/>
  <c r="E49" i="1" s="1"/>
  <c r="D46" i="1"/>
  <c r="B12" i="6" s="1"/>
  <c r="E46" i="1" l="1"/>
  <c r="B12" i="8" s="1"/>
  <c r="E47" i="1"/>
  <c r="F47" i="1"/>
  <c r="G47" i="1"/>
  <c r="C49" i="1"/>
  <c r="H47" i="1"/>
  <c r="G46" i="1"/>
  <c r="B12" i="5" s="1"/>
  <c r="H46" i="1"/>
  <c r="B12" i="4" s="1"/>
  <c r="E25" i="4" s="1"/>
  <c r="C47" i="1"/>
  <c r="D47" i="1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E25" i="7"/>
  <c r="D25" i="7"/>
  <c r="C25" i="7"/>
  <c r="F25" i="7"/>
  <c r="G25" i="7"/>
  <c r="H25" i="7"/>
  <c r="I25" i="7"/>
  <c r="J25" i="7"/>
  <c r="K25" i="7"/>
  <c r="L25" i="7"/>
  <c r="M25" i="7"/>
  <c r="N25" i="7"/>
  <c r="O25" i="7"/>
  <c r="P25" i="7"/>
  <c r="Q25" i="7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D25" i="5"/>
  <c r="C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D25" i="4"/>
  <c r="H25" i="4"/>
  <c r="L25" i="4"/>
  <c r="P25" i="4"/>
  <c r="O25" i="4" l="1"/>
  <c r="K25" i="4"/>
  <c r="K26" i="4" s="1"/>
  <c r="G25" i="4"/>
  <c r="C25" i="4"/>
  <c r="C30" i="4" s="1"/>
  <c r="C31" i="4" s="1"/>
  <c r="C32" i="4" s="1"/>
  <c r="N25" i="4"/>
  <c r="J25" i="4"/>
  <c r="F25" i="4"/>
  <c r="Q25" i="4"/>
  <c r="Q26" i="4" s="1"/>
  <c r="M25" i="4"/>
  <c r="I25" i="4"/>
  <c r="O26" i="4"/>
  <c r="G26" i="4"/>
  <c r="C27" i="4"/>
  <c r="C29" i="4" s="1"/>
  <c r="N26" i="5"/>
  <c r="J26" i="5"/>
  <c r="F26" i="5"/>
  <c r="Q26" i="6"/>
  <c r="P26" i="4"/>
  <c r="N26" i="4"/>
  <c r="L26" i="4"/>
  <c r="J26" i="4"/>
  <c r="H26" i="4"/>
  <c r="F26" i="4"/>
  <c r="D26" i="4"/>
  <c r="Q26" i="5"/>
  <c r="O26" i="5"/>
  <c r="M26" i="5"/>
  <c r="K26" i="5"/>
  <c r="I26" i="5"/>
  <c r="G26" i="5"/>
  <c r="E26" i="5"/>
  <c r="D26" i="5"/>
  <c r="P26" i="6"/>
  <c r="N26" i="6"/>
  <c r="L26" i="6"/>
  <c r="J26" i="6"/>
  <c r="H26" i="6"/>
  <c r="F26" i="6"/>
  <c r="D26" i="6"/>
  <c r="Q26" i="7"/>
  <c r="O26" i="7"/>
  <c r="M26" i="7"/>
  <c r="K26" i="7"/>
  <c r="I26" i="7"/>
  <c r="G26" i="7"/>
  <c r="C26" i="7"/>
  <c r="C30" i="7"/>
  <c r="C31" i="7" s="1"/>
  <c r="C32" i="7" s="1"/>
  <c r="C27" i="7"/>
  <c r="C29" i="7" s="1"/>
  <c r="B16" i="7"/>
  <c r="F51" i="1" s="1"/>
  <c r="B19" i="7"/>
  <c r="F54" i="1" s="1"/>
  <c r="E26" i="7"/>
  <c r="P26" i="8"/>
  <c r="N26" i="8"/>
  <c r="L26" i="8"/>
  <c r="J26" i="8"/>
  <c r="H26" i="8"/>
  <c r="F26" i="8"/>
  <c r="D26" i="8"/>
  <c r="M26" i="4"/>
  <c r="I26" i="4"/>
  <c r="E26" i="4"/>
  <c r="P26" i="5"/>
  <c r="L26" i="5"/>
  <c r="H26" i="5"/>
  <c r="C27" i="5"/>
  <c r="C29" i="5" s="1"/>
  <c r="C30" i="5"/>
  <c r="C31" i="5" s="1"/>
  <c r="C32" i="5" s="1"/>
  <c r="C26" i="5"/>
  <c r="B19" i="5"/>
  <c r="G54" i="1" s="1"/>
  <c r="B16" i="5"/>
  <c r="G51" i="1" s="1"/>
  <c r="O26" i="6"/>
  <c r="M26" i="6"/>
  <c r="K26" i="6"/>
  <c r="I26" i="6"/>
  <c r="G26" i="6"/>
  <c r="E26" i="6"/>
  <c r="C26" i="6"/>
  <c r="C27" i="6"/>
  <c r="C29" i="6" s="1"/>
  <c r="C30" i="6"/>
  <c r="C31" i="6" s="1"/>
  <c r="C32" i="6" s="1"/>
  <c r="B16" i="6"/>
  <c r="D51" i="1" s="1"/>
  <c r="B19" i="6"/>
  <c r="D54" i="1" s="1"/>
  <c r="P26" i="7"/>
  <c r="N26" i="7"/>
  <c r="L26" i="7"/>
  <c r="J26" i="7"/>
  <c r="H26" i="7"/>
  <c r="F26" i="7"/>
  <c r="D26" i="7"/>
  <c r="Q26" i="8"/>
  <c r="O26" i="8"/>
  <c r="M26" i="8"/>
  <c r="K26" i="8"/>
  <c r="I26" i="8"/>
  <c r="G26" i="8"/>
  <c r="E26" i="8"/>
  <c r="C30" i="8"/>
  <c r="C31" i="8" s="1"/>
  <c r="C32" i="8" s="1"/>
  <c r="C27" i="8"/>
  <c r="C29" i="8" s="1"/>
  <c r="C26" i="8"/>
  <c r="B19" i="8"/>
  <c r="E54" i="1" s="1"/>
  <c r="B16" i="8"/>
  <c r="E51" i="1" s="1"/>
  <c r="C34" i="5" l="1"/>
  <c r="C37" i="5" s="1"/>
  <c r="C34" i="7"/>
  <c r="C37" i="7" s="1"/>
  <c r="D27" i="4"/>
  <c r="D29" i="4" s="1"/>
  <c r="B16" i="4"/>
  <c r="H51" i="1" s="1"/>
  <c r="C26" i="4"/>
  <c r="B19" i="4"/>
  <c r="H54" i="1" s="1"/>
  <c r="D27" i="7"/>
  <c r="D29" i="7" s="1"/>
  <c r="E27" i="4"/>
  <c r="E29" i="4" s="1"/>
  <c r="C34" i="8"/>
  <c r="C37" i="8" s="1"/>
  <c r="C34" i="4"/>
  <c r="C37" i="4" s="1"/>
  <c r="D30" i="8"/>
  <c r="C33" i="8"/>
  <c r="D30" i="6"/>
  <c r="C33" i="6"/>
  <c r="D30" i="5"/>
  <c r="D31" i="5" s="1"/>
  <c r="D32" i="5" s="1"/>
  <c r="C33" i="5"/>
  <c r="D27" i="8"/>
  <c r="E27" i="7"/>
  <c r="C33" i="7"/>
  <c r="D30" i="7"/>
  <c r="D27" i="6"/>
  <c r="F27" i="4"/>
  <c r="C33" i="4"/>
  <c r="D30" i="4"/>
  <c r="C34" i="6"/>
  <c r="C37" i="6" s="1"/>
  <c r="D27" i="5"/>
  <c r="D29" i="6" l="1"/>
  <c r="E27" i="6"/>
  <c r="E29" i="7"/>
  <c r="F27" i="7"/>
  <c r="D33" i="5"/>
  <c r="E30" i="5"/>
  <c r="E31" i="5" s="1"/>
  <c r="E32" i="5" s="1"/>
  <c r="D34" i="5"/>
  <c r="D37" i="5" s="1"/>
  <c r="D31" i="6"/>
  <c r="D32" i="6" s="1"/>
  <c r="D31" i="8"/>
  <c r="D32" i="8" s="1"/>
  <c r="D31" i="4"/>
  <c r="D32" i="4" s="1"/>
  <c r="F29" i="4"/>
  <c r="G27" i="4"/>
  <c r="D31" i="7"/>
  <c r="D32" i="7" s="1"/>
  <c r="D29" i="8"/>
  <c r="E27" i="8"/>
  <c r="D29" i="5"/>
  <c r="E27" i="5"/>
  <c r="D34" i="7" l="1"/>
  <c r="D37" i="7" s="1"/>
  <c r="D34" i="4"/>
  <c r="D37" i="4" s="1"/>
  <c r="D34" i="8"/>
  <c r="D37" i="8" s="1"/>
  <c r="D34" i="6"/>
  <c r="D37" i="6" s="1"/>
  <c r="E34" i="5"/>
  <c r="E37" i="5" s="1"/>
  <c r="E29" i="5"/>
  <c r="F27" i="5"/>
  <c r="E29" i="8"/>
  <c r="F27" i="8"/>
  <c r="F29" i="7"/>
  <c r="G27" i="7"/>
  <c r="E29" i="6"/>
  <c r="F27" i="6"/>
  <c r="E30" i="7"/>
  <c r="D33" i="7"/>
  <c r="D33" i="4"/>
  <c r="E30" i="4"/>
  <c r="E31" i="4"/>
  <c r="E32" i="4" s="1"/>
  <c r="D33" i="8"/>
  <c r="E30" i="8"/>
  <c r="D33" i="6"/>
  <c r="E30" i="6"/>
  <c r="E31" i="6" s="1"/>
  <c r="E32" i="6" s="1"/>
  <c r="F30" i="5"/>
  <c r="F31" i="5" s="1"/>
  <c r="F32" i="5" s="1"/>
  <c r="E33" i="5"/>
  <c r="G29" i="4"/>
  <c r="H27" i="4"/>
  <c r="E34" i="4" l="1"/>
  <c r="E37" i="4" s="1"/>
  <c r="E33" i="6"/>
  <c r="F30" i="6"/>
  <c r="F31" i="6" s="1"/>
  <c r="F32" i="6" s="1"/>
  <c r="F29" i="6"/>
  <c r="G27" i="6"/>
  <c r="G29" i="7"/>
  <c r="H27" i="7"/>
  <c r="F29" i="8"/>
  <c r="G27" i="8"/>
  <c r="F29" i="5"/>
  <c r="G27" i="5"/>
  <c r="H29" i="4"/>
  <c r="I27" i="4"/>
  <c r="G31" i="5"/>
  <c r="G32" i="5" s="1"/>
  <c r="G30" i="5"/>
  <c r="F33" i="5"/>
  <c r="F34" i="5"/>
  <c r="F37" i="5" s="1"/>
  <c r="E34" i="6"/>
  <c r="E37" i="6" s="1"/>
  <c r="E31" i="8"/>
  <c r="E32" i="8" s="1"/>
  <c r="E33" i="4"/>
  <c r="F30" i="4"/>
  <c r="F31" i="4"/>
  <c r="F32" i="4" s="1"/>
  <c r="E31" i="7"/>
  <c r="E32" i="7" s="1"/>
  <c r="G34" i="5" l="1"/>
  <c r="G37" i="5" s="1"/>
  <c r="E34" i="7"/>
  <c r="E37" i="7" s="1"/>
  <c r="G31" i="4"/>
  <c r="G32" i="4" s="1"/>
  <c r="F33" i="4"/>
  <c r="G30" i="4"/>
  <c r="F30" i="8"/>
  <c r="F31" i="8" s="1"/>
  <c r="F32" i="8" s="1"/>
  <c r="E33" i="8"/>
  <c r="I29" i="4"/>
  <c r="J27" i="4"/>
  <c r="G29" i="8"/>
  <c r="H27" i="8"/>
  <c r="H29" i="7"/>
  <c r="I27" i="7"/>
  <c r="G29" i="6"/>
  <c r="H27" i="6"/>
  <c r="F33" i="6"/>
  <c r="G30" i="6"/>
  <c r="F30" i="7"/>
  <c r="F31" i="7"/>
  <c r="F32" i="7" s="1"/>
  <c r="E33" i="7"/>
  <c r="F34" i="4"/>
  <c r="F37" i="4" s="1"/>
  <c r="E34" i="8"/>
  <c r="E37" i="8" s="1"/>
  <c r="H31" i="5"/>
  <c r="H32" i="5" s="1"/>
  <c r="H30" i="5"/>
  <c r="G33" i="5"/>
  <c r="F34" i="6"/>
  <c r="F37" i="6" s="1"/>
  <c r="G29" i="5"/>
  <c r="H27" i="5"/>
  <c r="G34" i="4" l="1"/>
  <c r="G37" i="4" s="1"/>
  <c r="H34" i="5"/>
  <c r="H37" i="5" s="1"/>
  <c r="F34" i="8"/>
  <c r="F37" i="8" s="1"/>
  <c r="G31" i="6"/>
  <c r="G32" i="6" s="1"/>
  <c r="I29" i="7"/>
  <c r="J27" i="7"/>
  <c r="H29" i="5"/>
  <c r="I27" i="5"/>
  <c r="I30" i="5"/>
  <c r="H33" i="5"/>
  <c r="I31" i="5"/>
  <c r="I32" i="5" s="1"/>
  <c r="F34" i="7"/>
  <c r="F37" i="7" s="1"/>
  <c r="F33" i="8"/>
  <c r="G31" i="8"/>
  <c r="G32" i="8" s="1"/>
  <c r="G30" i="8"/>
  <c r="H30" i="4"/>
  <c r="G33" i="4"/>
  <c r="H31" i="4"/>
  <c r="H32" i="4" s="1"/>
  <c r="G30" i="7"/>
  <c r="F33" i="7"/>
  <c r="G31" i="7"/>
  <c r="G32" i="7" s="1"/>
  <c r="H29" i="6"/>
  <c r="I27" i="6"/>
  <c r="H29" i="8"/>
  <c r="I27" i="8"/>
  <c r="J29" i="4"/>
  <c r="K27" i="4"/>
  <c r="G34" i="8" l="1"/>
  <c r="G37" i="8" s="1"/>
  <c r="I29" i="8"/>
  <c r="J27" i="8"/>
  <c r="H30" i="7"/>
  <c r="H31" i="7" s="1"/>
  <c r="H32" i="7" s="1"/>
  <c r="G33" i="7"/>
  <c r="J31" i="5"/>
  <c r="J32" i="5" s="1"/>
  <c r="I33" i="5"/>
  <c r="J30" i="5"/>
  <c r="I34" i="5"/>
  <c r="I37" i="5" s="1"/>
  <c r="G33" i="6"/>
  <c r="H30" i="6"/>
  <c r="H31" i="6" s="1"/>
  <c r="H32" i="6" s="1"/>
  <c r="H33" i="4"/>
  <c r="I30" i="4"/>
  <c r="I31" i="4"/>
  <c r="I32" i="4" s="1"/>
  <c r="H34" i="4"/>
  <c r="H37" i="4" s="1"/>
  <c r="H30" i="8"/>
  <c r="G33" i="8"/>
  <c r="H31" i="8"/>
  <c r="H32" i="8" s="1"/>
  <c r="I29" i="5"/>
  <c r="J27" i="5"/>
  <c r="J29" i="7"/>
  <c r="K27" i="7"/>
  <c r="G34" i="6"/>
  <c r="G37" i="6" s="1"/>
  <c r="K29" i="4"/>
  <c r="L27" i="4"/>
  <c r="I29" i="6"/>
  <c r="J27" i="6"/>
  <c r="G34" i="7"/>
  <c r="G37" i="7" s="1"/>
  <c r="J34" i="5" l="1"/>
  <c r="J37" i="5" s="1"/>
  <c r="H34" i="8"/>
  <c r="H37" i="8" s="1"/>
  <c r="H34" i="6"/>
  <c r="H37" i="6" s="1"/>
  <c r="K29" i="7"/>
  <c r="L27" i="7"/>
  <c r="J29" i="5"/>
  <c r="K27" i="5"/>
  <c r="H33" i="8"/>
  <c r="I31" i="8"/>
  <c r="I32" i="8" s="1"/>
  <c r="I30" i="8"/>
  <c r="J30" i="4"/>
  <c r="J31" i="4"/>
  <c r="J32" i="4" s="1"/>
  <c r="I33" i="4"/>
  <c r="J29" i="6"/>
  <c r="K27" i="6"/>
  <c r="L29" i="4"/>
  <c r="M27" i="4"/>
  <c r="I34" i="4"/>
  <c r="I37" i="4" s="1"/>
  <c r="H33" i="6"/>
  <c r="I30" i="6"/>
  <c r="I31" i="6" s="1"/>
  <c r="I32" i="6" s="1"/>
  <c r="K31" i="5"/>
  <c r="K32" i="5" s="1"/>
  <c r="K30" i="5"/>
  <c r="J33" i="5"/>
  <c r="H34" i="7"/>
  <c r="H37" i="7" s="1"/>
  <c r="J29" i="8"/>
  <c r="K27" i="8"/>
  <c r="H33" i="7"/>
  <c r="I30" i="7"/>
  <c r="I34" i="8" l="1"/>
  <c r="I37" i="8" s="1"/>
  <c r="I31" i="7"/>
  <c r="I32" i="7" s="1"/>
  <c r="I33" i="7" s="1"/>
  <c r="I33" i="6"/>
  <c r="J30" i="6"/>
  <c r="J31" i="6"/>
  <c r="J32" i="6" s="1"/>
  <c r="J33" i="4"/>
  <c r="K30" i="4"/>
  <c r="K31" i="4"/>
  <c r="K32" i="4" s="1"/>
  <c r="J30" i="7"/>
  <c r="K29" i="8"/>
  <c r="L27" i="8"/>
  <c r="K34" i="5"/>
  <c r="K37" i="5" s="1"/>
  <c r="I34" i="6"/>
  <c r="I37" i="6" s="1"/>
  <c r="M29" i="4"/>
  <c r="N27" i="4"/>
  <c r="K29" i="6"/>
  <c r="L27" i="6"/>
  <c r="J34" i="4"/>
  <c r="J37" i="4" s="1"/>
  <c r="J30" i="8"/>
  <c r="I33" i="8"/>
  <c r="J31" i="8"/>
  <c r="J32" i="8" s="1"/>
  <c r="K29" i="5"/>
  <c r="L27" i="5"/>
  <c r="L29" i="7"/>
  <c r="M27" i="7"/>
  <c r="K33" i="5"/>
  <c r="L31" i="5"/>
  <c r="L32" i="5" s="1"/>
  <c r="L30" i="5"/>
  <c r="K34" i="4" l="1"/>
  <c r="K37" i="4" s="1"/>
  <c r="I34" i="7"/>
  <c r="I37" i="7" s="1"/>
  <c r="J31" i="7"/>
  <c r="J32" i="7" s="1"/>
  <c r="K30" i="7" s="1"/>
  <c r="K31" i="7" s="1"/>
  <c r="K32" i="7" s="1"/>
  <c r="L34" i="5"/>
  <c r="L37" i="5" s="1"/>
  <c r="J33" i="6"/>
  <c r="K31" i="6"/>
  <c r="K32" i="6" s="1"/>
  <c r="K30" i="6"/>
  <c r="M30" i="5"/>
  <c r="L33" i="5"/>
  <c r="M31" i="5"/>
  <c r="M32" i="5" s="1"/>
  <c r="M29" i="7"/>
  <c r="N27" i="7"/>
  <c r="L29" i="5"/>
  <c r="M27" i="5"/>
  <c r="K31" i="8"/>
  <c r="K32" i="8" s="1"/>
  <c r="J33" i="8"/>
  <c r="K30" i="8"/>
  <c r="J34" i="8"/>
  <c r="J37" i="8" s="1"/>
  <c r="L29" i="6"/>
  <c r="M27" i="6"/>
  <c r="N29" i="4"/>
  <c r="O27" i="4"/>
  <c r="L29" i="8"/>
  <c r="M27" i="8"/>
  <c r="L31" i="4"/>
  <c r="L32" i="4" s="1"/>
  <c r="L30" i="4"/>
  <c r="K33" i="4"/>
  <c r="J34" i="6"/>
  <c r="J37" i="6" s="1"/>
  <c r="K34" i="8" l="1"/>
  <c r="K37" i="8" s="1"/>
  <c r="J33" i="7"/>
  <c r="J34" i="7"/>
  <c r="J37" i="7" s="1"/>
  <c r="L34" i="4"/>
  <c r="L37" i="4" s="1"/>
  <c r="M31" i="4"/>
  <c r="M32" i="4" s="1"/>
  <c r="L33" i="4"/>
  <c r="M30" i="4"/>
  <c r="M29" i="8"/>
  <c r="N27" i="8"/>
  <c r="O29" i="4"/>
  <c r="P27" i="4"/>
  <c r="M29" i="6"/>
  <c r="N27" i="6"/>
  <c r="N29" i="7"/>
  <c r="O27" i="7"/>
  <c r="N31" i="5"/>
  <c r="N32" i="5" s="1"/>
  <c r="N30" i="5"/>
  <c r="M33" i="5"/>
  <c r="M34" i="5"/>
  <c r="M37" i="5" s="1"/>
  <c r="K33" i="7"/>
  <c r="L30" i="7"/>
  <c r="L31" i="7" s="1"/>
  <c r="L32" i="7" s="1"/>
  <c r="L31" i="8"/>
  <c r="L32" i="8" s="1"/>
  <c r="L30" i="8"/>
  <c r="K33" i="8"/>
  <c r="K34" i="6"/>
  <c r="K37" i="6" s="1"/>
  <c r="K34" i="7"/>
  <c r="K37" i="7" s="1"/>
  <c r="M29" i="5"/>
  <c r="N27" i="5"/>
  <c r="K33" i="6"/>
  <c r="L31" i="6"/>
  <c r="L32" i="6" s="1"/>
  <c r="L30" i="6"/>
  <c r="M34" i="4" l="1"/>
  <c r="M37" i="4" s="1"/>
  <c r="L34" i="8"/>
  <c r="L37" i="8" s="1"/>
  <c r="N34" i="5"/>
  <c r="N37" i="5" s="1"/>
  <c r="M30" i="6"/>
  <c r="L33" i="6"/>
  <c r="M31" i="6"/>
  <c r="M32" i="6" s="1"/>
  <c r="N29" i="5"/>
  <c r="O27" i="5"/>
  <c r="M30" i="7"/>
  <c r="L33" i="7"/>
  <c r="M31" i="7"/>
  <c r="M32" i="7" s="1"/>
  <c r="N29" i="6"/>
  <c r="O27" i="6"/>
  <c r="P29" i="4"/>
  <c r="Q27" i="4"/>
  <c r="M33" i="4"/>
  <c r="N30" i="4"/>
  <c r="N31" i="4"/>
  <c r="N32" i="4" s="1"/>
  <c r="L34" i="6"/>
  <c r="L37" i="6" s="1"/>
  <c r="L34" i="7"/>
  <c r="L37" i="7" s="1"/>
  <c r="N33" i="5"/>
  <c r="O31" i="5"/>
  <c r="O32" i="5" s="1"/>
  <c r="O30" i="5"/>
  <c r="M31" i="8"/>
  <c r="M32" i="8" s="1"/>
  <c r="M30" i="8"/>
  <c r="L33" i="8"/>
  <c r="O29" i="7"/>
  <c r="P27" i="7"/>
  <c r="N29" i="8"/>
  <c r="O27" i="8"/>
  <c r="O29" i="8" l="1"/>
  <c r="P27" i="8"/>
  <c r="P29" i="7"/>
  <c r="Q27" i="7"/>
  <c r="N30" i="8"/>
  <c r="M33" i="8"/>
  <c r="N31" i="8"/>
  <c r="N32" i="8" s="1"/>
  <c r="M34" i="8"/>
  <c r="M37" i="8" s="1"/>
  <c r="O34" i="5"/>
  <c r="O37" i="5" s="1"/>
  <c r="N34" i="4"/>
  <c r="N37" i="4" s="1"/>
  <c r="Q29" i="4"/>
  <c r="R27" i="4"/>
  <c r="O29" i="6"/>
  <c r="P27" i="6"/>
  <c r="N31" i="7"/>
  <c r="N32" i="7" s="1"/>
  <c r="N30" i="7"/>
  <c r="M33" i="7"/>
  <c r="M34" i="7"/>
  <c r="M37" i="7" s="1"/>
  <c r="P31" i="5"/>
  <c r="P32" i="5" s="1"/>
  <c r="P30" i="5"/>
  <c r="O33" i="5"/>
  <c r="O31" i="4"/>
  <c r="O32" i="4" s="1"/>
  <c r="N33" i="4"/>
  <c r="O30" i="4"/>
  <c r="O34" i="4" s="1"/>
  <c r="O37" i="4" s="1"/>
  <c r="O29" i="5"/>
  <c r="P27" i="5"/>
  <c r="M33" i="6"/>
  <c r="N30" i="6"/>
  <c r="N31" i="6"/>
  <c r="N32" i="6" s="1"/>
  <c r="M34" i="6"/>
  <c r="M37" i="6" s="1"/>
  <c r="N34" i="6" l="1"/>
  <c r="N37" i="6" s="1"/>
  <c r="P34" i="5"/>
  <c r="P37" i="5" s="1"/>
  <c r="O30" i="7"/>
  <c r="O31" i="7" s="1"/>
  <c r="O32" i="7" s="1"/>
  <c r="N33" i="7"/>
  <c r="P30" i="4"/>
  <c r="O33" i="4"/>
  <c r="P31" i="4"/>
  <c r="P32" i="4" s="1"/>
  <c r="O31" i="8"/>
  <c r="O32" i="8" s="1"/>
  <c r="O30" i="8"/>
  <c r="N33" i="8"/>
  <c r="N34" i="8"/>
  <c r="N37" i="8" s="1"/>
  <c r="N33" i="6"/>
  <c r="O31" i="6"/>
  <c r="O32" i="6" s="1"/>
  <c r="O30" i="6"/>
  <c r="Q30" i="5"/>
  <c r="P33" i="5"/>
  <c r="Q31" i="5"/>
  <c r="Q32" i="5" s="1"/>
  <c r="N34" i="7"/>
  <c r="N37" i="7" s="1"/>
  <c r="P29" i="6"/>
  <c r="Q27" i="6"/>
  <c r="R29" i="4"/>
  <c r="S27" i="4"/>
  <c r="R27" i="7"/>
  <c r="Q29" i="7"/>
  <c r="P29" i="8"/>
  <c r="Q27" i="8"/>
  <c r="P29" i="5"/>
  <c r="Q27" i="5"/>
  <c r="O34" i="6" l="1"/>
  <c r="O37" i="6" s="1"/>
  <c r="Q29" i="5"/>
  <c r="R27" i="5"/>
  <c r="S29" i="4"/>
  <c r="T27" i="4"/>
  <c r="Q29" i="6"/>
  <c r="R27" i="6"/>
  <c r="O33" i="8"/>
  <c r="P30" i="8"/>
  <c r="P31" i="8"/>
  <c r="P32" i="8" s="1"/>
  <c r="O33" i="7"/>
  <c r="P30" i="7"/>
  <c r="P31" i="7" s="1"/>
  <c r="P32" i="7" s="1"/>
  <c r="R29" i="7"/>
  <c r="S27" i="7"/>
  <c r="R30" i="5"/>
  <c r="Q33" i="5"/>
  <c r="R31" i="5"/>
  <c r="R32" i="5" s="1"/>
  <c r="Q34" i="5"/>
  <c r="Q37" i="5" s="1"/>
  <c r="P30" i="6"/>
  <c r="O33" i="6"/>
  <c r="P31" i="6"/>
  <c r="P32" i="6" s="1"/>
  <c r="O34" i="8"/>
  <c r="O37" i="8" s="1"/>
  <c r="Q31" i="4"/>
  <c r="Q32" i="4" s="1"/>
  <c r="P33" i="4"/>
  <c r="Q30" i="4"/>
  <c r="P34" i="4"/>
  <c r="P37" i="4" s="1"/>
  <c r="O34" i="7"/>
  <c r="O37" i="7" s="1"/>
  <c r="Q29" i="8"/>
  <c r="R27" i="8"/>
  <c r="Q34" i="4" l="1"/>
  <c r="Q37" i="4" s="1"/>
  <c r="P34" i="6"/>
  <c r="P37" i="6" s="1"/>
  <c r="R29" i="8"/>
  <c r="S27" i="8"/>
  <c r="R30" i="4"/>
  <c r="R31" i="4"/>
  <c r="R32" i="4" s="1"/>
  <c r="Q33" i="4"/>
  <c r="Q30" i="6"/>
  <c r="P33" i="6"/>
  <c r="Q31" i="6"/>
  <c r="Q32" i="6" s="1"/>
  <c r="S30" i="5"/>
  <c r="R33" i="5"/>
  <c r="S31" i="5"/>
  <c r="S32" i="5" s="1"/>
  <c r="P33" i="8"/>
  <c r="Q31" i="8"/>
  <c r="Q32" i="8" s="1"/>
  <c r="Q30" i="8"/>
  <c r="S29" i="7"/>
  <c r="T27" i="7"/>
  <c r="P34" i="7"/>
  <c r="P37" i="7" s="1"/>
  <c r="P34" i="8"/>
  <c r="P37" i="8" s="1"/>
  <c r="R29" i="6"/>
  <c r="S27" i="6"/>
  <c r="T29" i="4"/>
  <c r="U27" i="4"/>
  <c r="R29" i="5"/>
  <c r="S27" i="5"/>
  <c r="R34" i="5"/>
  <c r="R37" i="5" s="1"/>
  <c r="P33" i="7"/>
  <c r="Q30" i="7"/>
  <c r="Q31" i="7" s="1"/>
  <c r="Q32" i="7" s="1"/>
  <c r="R34" i="4" l="1"/>
  <c r="R37" i="4" s="1"/>
  <c r="S33" i="5"/>
  <c r="T31" i="5"/>
  <c r="T32" i="5" s="1"/>
  <c r="T30" i="5"/>
  <c r="S34" i="5"/>
  <c r="S37" i="5" s="1"/>
  <c r="Q34" i="7"/>
  <c r="Q37" i="7" s="1"/>
  <c r="S29" i="5"/>
  <c r="T27" i="5"/>
  <c r="U29" i="4"/>
  <c r="V27" i="4"/>
  <c r="S29" i="6"/>
  <c r="T27" i="6"/>
  <c r="T29" i="7"/>
  <c r="U27" i="7"/>
  <c r="Q34" i="8"/>
  <c r="Q37" i="8" s="1"/>
  <c r="R30" i="6"/>
  <c r="Q33" i="6"/>
  <c r="R31" i="6"/>
  <c r="R32" i="6" s="1"/>
  <c r="Q34" i="6"/>
  <c r="Q37" i="6" s="1"/>
  <c r="R33" i="4"/>
  <c r="S30" i="4"/>
  <c r="S31" i="4"/>
  <c r="S32" i="4" s="1"/>
  <c r="S29" i="8"/>
  <c r="T27" i="8"/>
  <c r="R30" i="7"/>
  <c r="R31" i="7" s="1"/>
  <c r="R32" i="7" s="1"/>
  <c r="Q33" i="7"/>
  <c r="R31" i="8"/>
  <c r="R32" i="8" s="1"/>
  <c r="R30" i="8"/>
  <c r="Q33" i="8"/>
  <c r="T34" i="5" l="1"/>
  <c r="T37" i="5" s="1"/>
  <c r="R34" i="8"/>
  <c r="R37" i="8" s="1"/>
  <c r="R33" i="7"/>
  <c r="S31" i="7"/>
  <c r="S32" i="7" s="1"/>
  <c r="S30" i="7"/>
  <c r="T29" i="8"/>
  <c r="U27" i="8"/>
  <c r="R33" i="8"/>
  <c r="S30" i="8"/>
  <c r="S31" i="8"/>
  <c r="S32" i="8" s="1"/>
  <c r="R34" i="7"/>
  <c r="R37" i="7" s="1"/>
  <c r="S34" i="4"/>
  <c r="S37" i="4" s="1"/>
  <c r="U31" i="5"/>
  <c r="U32" i="5" s="1"/>
  <c r="U30" i="5"/>
  <c r="T33" i="5"/>
  <c r="T30" i="4"/>
  <c r="S33" i="4"/>
  <c r="T31" i="4"/>
  <c r="S31" i="6"/>
  <c r="S32" i="6" s="1"/>
  <c r="S30" i="6"/>
  <c r="R33" i="6"/>
  <c r="R34" i="6"/>
  <c r="R37" i="6" s="1"/>
  <c r="U29" i="7"/>
  <c r="V27" i="7"/>
  <c r="T29" i="6"/>
  <c r="U27" i="6"/>
  <c r="V29" i="4"/>
  <c r="W27" i="4"/>
  <c r="T29" i="5"/>
  <c r="U27" i="5"/>
  <c r="T34" i="4" l="1"/>
  <c r="S34" i="6"/>
  <c r="S37" i="6" s="1"/>
  <c r="T32" i="4"/>
  <c r="T33" i="4" s="1"/>
  <c r="S34" i="8"/>
  <c r="S37" i="8" s="1"/>
  <c r="S34" i="7"/>
  <c r="S37" i="7" s="1"/>
  <c r="U29" i="5"/>
  <c r="V27" i="5"/>
  <c r="W29" i="4"/>
  <c r="X27" i="4"/>
  <c r="U29" i="6"/>
  <c r="V27" i="6"/>
  <c r="V29" i="7"/>
  <c r="W27" i="7"/>
  <c r="V30" i="5"/>
  <c r="U33" i="5"/>
  <c r="V31" i="5"/>
  <c r="V32" i="5" s="1"/>
  <c r="U29" i="8"/>
  <c r="V27" i="8"/>
  <c r="T30" i="6"/>
  <c r="S33" i="6"/>
  <c r="T31" i="6"/>
  <c r="T32" i="6" s="1"/>
  <c r="U34" i="5"/>
  <c r="U37" i="5" s="1"/>
  <c r="T31" i="8"/>
  <c r="T32" i="8" s="1"/>
  <c r="S33" i="8"/>
  <c r="T30" i="8"/>
  <c r="S33" i="7"/>
  <c r="T31" i="7"/>
  <c r="T32" i="7" s="1"/>
  <c r="T30" i="7"/>
  <c r="T34" i="8" l="1"/>
  <c r="T37" i="8" s="1"/>
  <c r="T37" i="4"/>
  <c r="U31" i="4"/>
  <c r="U32" i="4" s="1"/>
  <c r="V30" i="4" s="1"/>
  <c r="T34" i="7"/>
  <c r="T37" i="7" s="1"/>
  <c r="U30" i="4"/>
  <c r="T33" i="6"/>
  <c r="U31" i="6"/>
  <c r="U32" i="6" s="1"/>
  <c r="U30" i="6"/>
  <c r="U30" i="7"/>
  <c r="T33" i="7"/>
  <c r="U31" i="7"/>
  <c r="U32" i="7" s="1"/>
  <c r="T33" i="8"/>
  <c r="U31" i="8"/>
  <c r="U32" i="8" s="1"/>
  <c r="U30" i="8"/>
  <c r="V29" i="8"/>
  <c r="W27" i="8"/>
  <c r="V33" i="5"/>
  <c r="W30" i="5"/>
  <c r="W31" i="5"/>
  <c r="W32" i="5" s="1"/>
  <c r="V34" i="5"/>
  <c r="V37" i="5" s="1"/>
  <c r="W29" i="7"/>
  <c r="X27" i="7"/>
  <c r="V29" i="6"/>
  <c r="W27" i="6"/>
  <c r="X29" i="4"/>
  <c r="Y27" i="4"/>
  <c r="V29" i="5"/>
  <c r="W27" i="5"/>
  <c r="T34" i="6"/>
  <c r="T37" i="6" s="1"/>
  <c r="V31" i="4" l="1"/>
  <c r="V32" i="4" s="1"/>
  <c r="U33" i="4"/>
  <c r="U34" i="4"/>
  <c r="U37" i="4" s="1"/>
  <c r="V34" i="4"/>
  <c r="W34" i="5"/>
  <c r="W37" i="5" s="1"/>
  <c r="U34" i="8"/>
  <c r="U37" i="8" s="1"/>
  <c r="U34" i="6"/>
  <c r="U37" i="6" s="1"/>
  <c r="W29" i="5"/>
  <c r="X27" i="5"/>
  <c r="Y29" i="4"/>
  <c r="Z27" i="4"/>
  <c r="W29" i="6"/>
  <c r="X27" i="6"/>
  <c r="Y27" i="7"/>
  <c r="X29" i="7"/>
  <c r="W30" i="4"/>
  <c r="W31" i="4"/>
  <c r="W32" i="4" s="1"/>
  <c r="V33" i="4"/>
  <c r="W33" i="5"/>
  <c r="X30" i="5"/>
  <c r="X31" i="5"/>
  <c r="X32" i="5" s="1"/>
  <c r="V30" i="8"/>
  <c r="U33" i="8"/>
  <c r="V31" i="8"/>
  <c r="V32" i="8" s="1"/>
  <c r="V31" i="7"/>
  <c r="V32" i="7" s="1"/>
  <c r="V30" i="7"/>
  <c r="U33" i="7"/>
  <c r="U34" i="7"/>
  <c r="U37" i="7" s="1"/>
  <c r="V31" i="6"/>
  <c r="V32" i="6" s="1"/>
  <c r="U33" i="6"/>
  <c r="V30" i="6"/>
  <c r="V34" i="6" s="1"/>
  <c r="V37" i="6" s="1"/>
  <c r="W29" i="8"/>
  <c r="X27" i="8"/>
  <c r="V37" i="4" l="1"/>
  <c r="V34" i="7"/>
  <c r="V37" i="7" s="1"/>
  <c r="X34" i="5"/>
  <c r="X37" i="5" s="1"/>
  <c r="W34" i="4"/>
  <c r="W37" i="4" s="1"/>
  <c r="W30" i="8"/>
  <c r="V33" i="8"/>
  <c r="W31" i="8"/>
  <c r="W32" i="8" s="1"/>
  <c r="Y29" i="7"/>
  <c r="Z27" i="7"/>
  <c r="W30" i="7"/>
  <c r="V33" i="7"/>
  <c r="W31" i="7"/>
  <c r="W32" i="7" s="1"/>
  <c r="Y30" i="5"/>
  <c r="X33" i="5"/>
  <c r="Y31" i="5"/>
  <c r="Y32" i="5" s="1"/>
  <c r="X31" i="4"/>
  <c r="X32" i="4" s="1"/>
  <c r="X30" i="4"/>
  <c r="W33" i="4"/>
  <c r="X29" i="6"/>
  <c r="Y27" i="6"/>
  <c r="Z29" i="4"/>
  <c r="AA27" i="4"/>
  <c r="AA29" i="4" s="1"/>
  <c r="X29" i="5"/>
  <c r="Y27" i="5"/>
  <c r="X29" i="8"/>
  <c r="Y27" i="8"/>
  <c r="V33" i="6"/>
  <c r="W31" i="6"/>
  <c r="W32" i="6" s="1"/>
  <c r="W30" i="6"/>
  <c r="V34" i="8"/>
  <c r="V37" i="8" s="1"/>
  <c r="X34" i="4" l="1"/>
  <c r="C16" i="4"/>
  <c r="Y29" i="6"/>
  <c r="Z27" i="6"/>
  <c r="X33" i="4"/>
  <c r="Y30" i="4"/>
  <c r="Y31" i="4"/>
  <c r="Y32" i="4" s="1"/>
  <c r="Z30" i="5"/>
  <c r="Y33" i="5"/>
  <c r="Z31" i="5"/>
  <c r="Z32" i="5" s="1"/>
  <c r="Y34" i="5"/>
  <c r="Y37" i="5" s="1"/>
  <c r="Z29" i="7"/>
  <c r="AA27" i="7"/>
  <c r="AA29" i="7" s="1"/>
  <c r="W34" i="6"/>
  <c r="W37" i="6" s="1"/>
  <c r="X37" i="4"/>
  <c r="X31" i="7"/>
  <c r="X32" i="7" s="1"/>
  <c r="X30" i="7"/>
  <c r="W33" i="7"/>
  <c r="W34" i="7"/>
  <c r="W37" i="7" s="1"/>
  <c r="W33" i="6"/>
  <c r="X31" i="6"/>
  <c r="X32" i="6" s="1"/>
  <c r="X30" i="6"/>
  <c r="Y29" i="8"/>
  <c r="Z27" i="8"/>
  <c r="Y29" i="5"/>
  <c r="Z27" i="5"/>
  <c r="X30" i="8"/>
  <c r="W33" i="8"/>
  <c r="X31" i="8"/>
  <c r="X32" i="8" s="1"/>
  <c r="W34" i="8"/>
  <c r="W37" i="8" s="1"/>
  <c r="X34" i="7" l="1"/>
  <c r="X37" i="7" s="1"/>
  <c r="C16" i="7"/>
  <c r="Y30" i="8"/>
  <c r="X33" i="8"/>
  <c r="Y31" i="8"/>
  <c r="Y32" i="8" s="1"/>
  <c r="X34" i="8"/>
  <c r="X37" i="8" s="1"/>
  <c r="Y33" i="4"/>
  <c r="Z30" i="4"/>
  <c r="Z31" i="4"/>
  <c r="Z32" i="4" s="1"/>
  <c r="Z29" i="5"/>
  <c r="AA27" i="5"/>
  <c r="AA29" i="5" s="1"/>
  <c r="Z29" i="8"/>
  <c r="AA27" i="8"/>
  <c r="AA29" i="8" s="1"/>
  <c r="X34" i="6"/>
  <c r="X37" i="6" s="1"/>
  <c r="X33" i="7"/>
  <c r="Y30" i="7"/>
  <c r="Y31" i="7"/>
  <c r="Y32" i="7" s="1"/>
  <c r="AA30" i="5"/>
  <c r="Z33" i="5"/>
  <c r="AA31" i="5"/>
  <c r="AA32" i="5" s="1"/>
  <c r="AA33" i="5" s="1"/>
  <c r="Z34" i="5"/>
  <c r="Z37" i="5" s="1"/>
  <c r="Y34" i="4"/>
  <c r="Y37" i="4" s="1"/>
  <c r="Z29" i="6"/>
  <c r="AA27" i="6"/>
  <c r="AA29" i="6" s="1"/>
  <c r="Y30" i="6"/>
  <c r="X33" i="6"/>
  <c r="Y31" i="6"/>
  <c r="Y32" i="6" s="1"/>
  <c r="C16" i="5" l="1"/>
  <c r="C16" i="8"/>
  <c r="C17" i="5"/>
  <c r="Z30" i="6"/>
  <c r="Z31" i="6"/>
  <c r="Z32" i="6" s="1"/>
  <c r="Y33" i="6"/>
  <c r="Y34" i="6"/>
  <c r="Y37" i="6" s="1"/>
  <c r="Y33" i="7"/>
  <c r="Z30" i="7"/>
  <c r="Z31" i="7"/>
  <c r="Z32" i="7" s="1"/>
  <c r="C16" i="6"/>
  <c r="AA34" i="5"/>
  <c r="AA37" i="5" s="1"/>
  <c r="B37" i="5" s="1"/>
  <c r="B18" i="5" s="1"/>
  <c r="Y34" i="7"/>
  <c r="Y37" i="7" s="1"/>
  <c r="Z34" i="4"/>
  <c r="Z37" i="4" s="1"/>
  <c r="AA31" i="4"/>
  <c r="AA32" i="4" s="1"/>
  <c r="AA33" i="4" s="1"/>
  <c r="Z33" i="4"/>
  <c r="AA30" i="4"/>
  <c r="Z31" i="8"/>
  <c r="Z32" i="8" s="1"/>
  <c r="Z30" i="8"/>
  <c r="Y33" i="8"/>
  <c r="Y34" i="8"/>
  <c r="Y37" i="8" s="1"/>
  <c r="C17" i="4" l="1"/>
  <c r="AA34" i="4"/>
  <c r="AA37" i="4" s="1"/>
  <c r="Z34" i="6"/>
  <c r="Z37" i="6" s="1"/>
  <c r="Z33" i="8"/>
  <c r="AA31" i="8"/>
  <c r="AA32" i="8" s="1"/>
  <c r="AA33" i="8" s="1"/>
  <c r="AA30" i="8"/>
  <c r="AA30" i="7"/>
  <c r="Z33" i="7"/>
  <c r="AA31" i="7"/>
  <c r="AA32" i="7" s="1"/>
  <c r="AA33" i="7" s="1"/>
  <c r="Z34" i="8"/>
  <c r="Z37" i="8" s="1"/>
  <c r="B37" i="4"/>
  <c r="B18" i="4" s="1"/>
  <c r="Z34" i="7"/>
  <c r="Z37" i="7" s="1"/>
  <c r="Z33" i="6"/>
  <c r="AA31" i="6"/>
  <c r="AA32" i="6" s="1"/>
  <c r="AA33" i="6" s="1"/>
  <c r="AA30" i="6"/>
  <c r="B17" i="5"/>
  <c r="G52" i="1" s="1"/>
  <c r="G53" i="1"/>
  <c r="C17" i="6" l="1"/>
  <c r="AA34" i="8"/>
  <c r="AA37" i="8" s="1"/>
  <c r="B37" i="8" s="1"/>
  <c r="B18" i="8" s="1"/>
  <c r="C17" i="7"/>
  <c r="C17" i="8"/>
  <c r="AA34" i="6"/>
  <c r="AA37" i="6" s="1"/>
  <c r="B37" i="6" s="1"/>
  <c r="B18" i="6" s="1"/>
  <c r="B17" i="4"/>
  <c r="H52" i="1" s="1"/>
  <c r="H53" i="1"/>
  <c r="AA34" i="7"/>
  <c r="AA37" i="7" s="1"/>
  <c r="B37" i="7" s="1"/>
  <c r="B18" i="7" s="1"/>
  <c r="B17" i="7" l="1"/>
  <c r="F52" i="1" s="1"/>
  <c r="F53" i="1"/>
  <c r="B17" i="8"/>
  <c r="E52" i="1" s="1"/>
  <c r="E53" i="1"/>
  <c r="D53" i="1"/>
  <c r="B17" i="6"/>
  <c r="D52" i="1" s="1"/>
</calcChain>
</file>

<file path=xl/sharedStrings.xml><?xml version="1.0" encoding="utf-8"?>
<sst xmlns="http://schemas.openxmlformats.org/spreadsheetml/2006/main" count="405" uniqueCount="92">
  <si>
    <t>100kW DC</t>
  </si>
  <si>
    <t>Einsparung prozentual [%]</t>
  </si>
  <si>
    <t>Gesamtkosten 1. Jahr</t>
  </si>
  <si>
    <t>Typ</t>
  </si>
  <si>
    <t>Nennleistung [47kW]</t>
  </si>
  <si>
    <t>Nenndrehzahl [1/min]</t>
  </si>
  <si>
    <t>Nenn-Drehmoment [Nm]</t>
  </si>
  <si>
    <t>Max. Drehmoment [Nm]</t>
  </si>
  <si>
    <t>Max. Drehmoment kurzzeit [Nm]</t>
  </si>
  <si>
    <t>Auslastung Drehzahl [%]</t>
  </si>
  <si>
    <t>Auslastung Drehmoment [%]</t>
  </si>
  <si>
    <t>Drehmoment nach Getriebe [Nm]</t>
  </si>
  <si>
    <t>Antrieb Typ/ Bezeichnung</t>
  </si>
  <si>
    <t>Gesamtleistungsbedarf kalk. [kW]</t>
  </si>
  <si>
    <t>Getriebeübersetzung</t>
  </si>
  <si>
    <t>Material</t>
  </si>
  <si>
    <t>Durchmesser Schnecke [mm]</t>
  </si>
  <si>
    <t>Länge Extruder [D]</t>
  </si>
  <si>
    <t>Durchsatz [kg/h]</t>
  </si>
  <si>
    <t>Extruder-Verluste</t>
  </si>
  <si>
    <t>Verlustleistung [kW]</t>
  </si>
  <si>
    <t>Aufschmelzleistung Material [kW]</t>
  </si>
  <si>
    <t>Schneckendrehzahl [rpm]</t>
  </si>
  <si>
    <t>Antrieb &amp; Getriebe</t>
  </si>
  <si>
    <t>Hersteller Getriebe</t>
  </si>
  <si>
    <t>Hersteller Antrieb</t>
  </si>
  <si>
    <t>Investitionskosten [€]</t>
  </si>
  <si>
    <t>Betriebszeit [h]</t>
  </si>
  <si>
    <t>Energiepreis [€/kWh]</t>
  </si>
  <si>
    <t>Energieverbrauch [kWh]</t>
  </si>
  <si>
    <t>Resultierende Energiekosten [€]</t>
  </si>
  <si>
    <t>Elektrische Leistungsaufnahme [kW]</t>
  </si>
  <si>
    <t>Einsparung pro Jahr [€]</t>
  </si>
  <si>
    <t>Oberfläche [m²]</t>
  </si>
  <si>
    <t>V_Umfang [m/s]</t>
  </si>
  <si>
    <t>Verlust_Fläche [W/cm²]</t>
  </si>
  <si>
    <t>Amortisation</t>
  </si>
  <si>
    <t>Eingabe</t>
  </si>
  <si>
    <t>Startjahr</t>
  </si>
  <si>
    <t>Voraussichtl. Nutzungsdauer</t>
  </si>
  <si>
    <t>Interner Zinssatz</t>
  </si>
  <si>
    <t>Investition</t>
  </si>
  <si>
    <t>Jährlicher Rückfluss (Einsparungen)</t>
  </si>
  <si>
    <t>Steigerungsrate Rückfluss</t>
  </si>
  <si>
    <t>Ergebnisse</t>
  </si>
  <si>
    <r>
      <t>Statische Amortisation (</t>
    </r>
    <r>
      <rPr>
        <b/>
        <sz val="11"/>
        <color theme="1"/>
        <rFont val="Calibri"/>
        <family val="2"/>
      </rPr>
      <t xml:space="preserve">Ø </t>
    </r>
    <r>
      <rPr>
        <b/>
        <sz val="11"/>
        <color theme="1"/>
        <rFont val="Calibri"/>
        <family val="2"/>
        <scheme val="minor"/>
      </rPr>
      <t>Jahre)</t>
    </r>
  </si>
  <si>
    <t>kumuliert</t>
  </si>
  <si>
    <r>
      <t>Dynamische Amortisation (</t>
    </r>
    <r>
      <rPr>
        <b/>
        <sz val="11"/>
        <color theme="1"/>
        <rFont val="Calibri"/>
        <family val="2"/>
      </rPr>
      <t>Ø</t>
    </r>
    <r>
      <rPr>
        <b/>
        <sz val="11"/>
        <color theme="1"/>
        <rFont val="Calibri"/>
        <family val="2"/>
        <scheme val="minor"/>
      </rPr>
      <t xml:space="preserve"> Jahre)</t>
    </r>
  </si>
  <si>
    <t>Barwert</t>
  </si>
  <si>
    <t>Interne Verzinsung</t>
  </si>
  <si>
    <t>Zahlungsplan</t>
  </si>
  <si>
    <t>Max Jahre</t>
  </si>
  <si>
    <t>Zeitpunkt</t>
  </si>
  <si>
    <t>01.01.</t>
  </si>
  <si>
    <t>31.12.</t>
  </si>
  <si>
    <t>Kredit für Investition</t>
  </si>
  <si>
    <t>Rückfluss</t>
  </si>
  <si>
    <t>Monatlicher Rückfluss</t>
  </si>
  <si>
    <t>Kummulierter Rückfluss</t>
  </si>
  <si>
    <t>Jahre</t>
  </si>
  <si>
    <t>Amortisation [Jahre]</t>
  </si>
  <si>
    <t>Zins</t>
  </si>
  <si>
    <t>Tilgung</t>
  </si>
  <si>
    <t>Restschuld</t>
  </si>
  <si>
    <t>Dynamische Amortisation [Jahre]</t>
  </si>
  <si>
    <t>Überschuss</t>
  </si>
  <si>
    <t>abgezinst auf</t>
  </si>
  <si>
    <t>Amortisation statisch</t>
  </si>
  <si>
    <t>Investition Gesamt</t>
  </si>
  <si>
    <t>Variante A</t>
  </si>
  <si>
    <t>Variante B</t>
  </si>
  <si>
    <t>Variante C</t>
  </si>
  <si>
    <t>Variante D</t>
  </si>
  <si>
    <t>Variante E</t>
  </si>
  <si>
    <t>Amortisation dynamisch</t>
  </si>
  <si>
    <t>Interne Verzinsung [%]</t>
  </si>
  <si>
    <t>Kosten und Auslastung</t>
  </si>
  <si>
    <t>Allgemeine Daten</t>
  </si>
  <si>
    <t>Leistung</t>
  </si>
  <si>
    <t>Investitionskosten Antrieb [€]</t>
  </si>
  <si>
    <t>Investitionskosten Steuerung [€]</t>
  </si>
  <si>
    <t>Referenz</t>
  </si>
  <si>
    <t>NA</t>
  </si>
  <si>
    <t>Drehrichtung Schnecke (r = 1, l = 0)</t>
  </si>
  <si>
    <t>Rückdruck [bar]</t>
  </si>
  <si>
    <t>SHS Extruder und Antriebsberechnung</t>
  </si>
  <si>
    <t>Wirkungsgrad i.d. Betriebspunkt[%]</t>
  </si>
  <si>
    <t>96kW</t>
  </si>
  <si>
    <t>xxx</t>
  </si>
  <si>
    <t>yyy</t>
  </si>
  <si>
    <t>zzz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</si>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</sst>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00"/>
    <numFmt numFmtId="167" formatCode="#,##0.00\ &quot;€&quot;"/>
    <numFmt numFmtId="168" formatCode="#,##0\ &quot;€&quot;"/>
    <numFmt numFmtId="169" formatCode="[$-407]d/\ mmm/;@"/>
    <numFmt numFmtId="170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theme="4" tint="0.7999816888943144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1" fillId="3" borderId="14" xfId="9" applyFill="1" applyBorder="1"/>
    <xf numFmtId="0" fontId="4" fillId="3" borderId="17" xfId="9" applyFont="1" applyFill="1" applyBorder="1"/>
    <xf numFmtId="0" fontId="1" fillId="0" borderId="0" xfId="9"/>
    <xf numFmtId="168" fontId="1" fillId="4" borderId="16" xfId="9" applyNumberFormat="1" applyFill="1" applyBorder="1"/>
    <xf numFmtId="168" fontId="1" fillId="4" borderId="17" xfId="9" applyNumberFormat="1" applyFill="1" applyBorder="1"/>
    <xf numFmtId="168" fontId="1" fillId="4" borderId="12" xfId="9" applyNumberFormat="1" applyFill="1" applyBorder="1"/>
    <xf numFmtId="0" fontId="1" fillId="4" borderId="17" xfId="9" applyFont="1" applyFill="1" applyBorder="1"/>
    <xf numFmtId="0" fontId="1" fillId="4" borderId="18" xfId="9" applyFill="1" applyBorder="1"/>
    <xf numFmtId="0" fontId="1" fillId="4" borderId="19" xfId="9" applyFill="1" applyBorder="1"/>
    <xf numFmtId="0" fontId="1" fillId="4" borderId="15" xfId="9" applyFill="1" applyBorder="1" applyAlignment="1">
      <alignment horizontal="right"/>
    </xf>
    <xf numFmtId="168" fontId="1" fillId="0" borderId="0" xfId="9" applyNumberFormat="1"/>
    <xf numFmtId="168" fontId="1" fillId="5" borderId="16" xfId="9" applyNumberFormat="1" applyFill="1" applyBorder="1"/>
    <xf numFmtId="168" fontId="1" fillId="5" borderId="17" xfId="9" applyNumberFormat="1" applyFill="1" applyBorder="1"/>
    <xf numFmtId="0" fontId="1" fillId="5" borderId="12" xfId="9" applyFill="1" applyBorder="1"/>
    <xf numFmtId="0" fontId="1" fillId="5" borderId="17" xfId="9" applyFill="1" applyBorder="1"/>
    <xf numFmtId="165" fontId="1" fillId="5" borderId="20" xfId="9" applyNumberFormat="1" applyFill="1" applyBorder="1"/>
    <xf numFmtId="168" fontId="1" fillId="5" borderId="0" xfId="9" applyNumberFormat="1" applyFill="1" applyBorder="1"/>
    <xf numFmtId="0" fontId="1" fillId="5" borderId="21" xfId="9" applyFont="1" applyFill="1" applyBorder="1"/>
    <xf numFmtId="168" fontId="1" fillId="5" borderId="20" xfId="9" applyNumberFormat="1" applyFill="1" applyBorder="1"/>
    <xf numFmtId="168" fontId="1" fillId="5" borderId="21" xfId="9" applyNumberFormat="1" applyFill="1" applyBorder="1"/>
    <xf numFmtId="0" fontId="1" fillId="5" borderId="21" xfId="9" applyFill="1" applyBorder="1"/>
    <xf numFmtId="0" fontId="1" fillId="5" borderId="0" xfId="9" applyFill="1" applyBorder="1"/>
    <xf numFmtId="168" fontId="9" fillId="5" borderId="0" xfId="9" applyNumberFormat="1" applyFont="1" applyFill="1" applyBorder="1"/>
    <xf numFmtId="3" fontId="1" fillId="5" borderId="20" xfId="9" applyNumberFormat="1" applyFill="1" applyBorder="1"/>
    <xf numFmtId="0" fontId="1" fillId="5" borderId="20" xfId="9" applyFill="1" applyBorder="1"/>
    <xf numFmtId="0" fontId="1" fillId="4" borderId="16" xfId="9" applyFill="1" applyBorder="1"/>
    <xf numFmtId="0" fontId="1" fillId="4" borderId="17" xfId="9" applyFill="1" applyBorder="1"/>
    <xf numFmtId="0" fontId="1" fillId="4" borderId="12" xfId="9" applyFill="1" applyBorder="1"/>
    <xf numFmtId="0" fontId="1" fillId="6" borderId="0" xfId="9" applyFill="1"/>
    <xf numFmtId="0" fontId="1" fillId="4" borderId="18" xfId="9" applyFill="1" applyBorder="1" applyAlignment="1">
      <alignment horizontal="right"/>
    </xf>
    <xf numFmtId="0" fontId="1" fillId="4" borderId="19" xfId="9" applyFill="1" applyBorder="1" applyAlignment="1">
      <alignment horizontal="right"/>
    </xf>
    <xf numFmtId="169" fontId="1" fillId="4" borderId="15" xfId="9" applyNumberFormat="1" applyFill="1" applyBorder="1" applyAlignment="1">
      <alignment horizontal="right"/>
    </xf>
    <xf numFmtId="0" fontId="1" fillId="0" borderId="0" xfId="9" applyFont="1"/>
    <xf numFmtId="0" fontId="1" fillId="3" borderId="22" xfId="9" applyFill="1" applyBorder="1"/>
    <xf numFmtId="0" fontId="1" fillId="3" borderId="15" xfId="9" applyFill="1" applyBorder="1"/>
    <xf numFmtId="0" fontId="4" fillId="3" borderId="19" xfId="9" applyFont="1" applyFill="1" applyBorder="1"/>
    <xf numFmtId="0" fontId="1" fillId="4" borderId="14" xfId="9" applyFill="1" applyBorder="1"/>
    <xf numFmtId="170" fontId="3" fillId="4" borderId="13" xfId="9" applyNumberFormat="1" applyFont="1" applyFill="1" applyBorder="1"/>
    <xf numFmtId="0" fontId="3" fillId="4" borderId="21" xfId="9" applyFont="1" applyFill="1" applyBorder="1"/>
    <xf numFmtId="168" fontId="3" fillId="4" borderId="13" xfId="9" applyNumberFormat="1" applyFont="1" applyFill="1" applyBorder="1"/>
    <xf numFmtId="165" fontId="3" fillId="4" borderId="14" xfId="9" applyNumberFormat="1" applyFont="1" applyFill="1" applyBorder="1" applyAlignment="1">
      <alignment horizontal="right"/>
    </xf>
    <xf numFmtId="165" fontId="3" fillId="4" borderId="17" xfId="9" applyNumberFormat="1" applyFont="1" applyFill="1" applyBorder="1"/>
    <xf numFmtId="164" fontId="3" fillId="4" borderId="13" xfId="9" applyNumberFormat="1" applyFont="1" applyFill="1" applyBorder="1"/>
    <xf numFmtId="0" fontId="3" fillId="4" borderId="22" xfId="9" applyFont="1" applyFill="1" applyBorder="1" applyAlignment="1">
      <alignment horizontal="right"/>
    </xf>
    <xf numFmtId="165" fontId="3" fillId="4" borderId="19" xfId="9" applyNumberFormat="1" applyFont="1" applyFill="1" applyBorder="1"/>
    <xf numFmtId="164" fontId="3" fillId="4" borderId="22" xfId="9" applyNumberFormat="1" applyFont="1" applyFill="1" applyBorder="1"/>
    <xf numFmtId="0" fontId="3" fillId="4" borderId="19" xfId="9" applyFont="1" applyFill="1" applyBorder="1"/>
    <xf numFmtId="10" fontId="3" fillId="4" borderId="13" xfId="9" applyNumberFormat="1" applyFont="1" applyFill="1" applyBorder="1"/>
    <xf numFmtId="0" fontId="3" fillId="4" borderId="13" xfId="9" applyFont="1" applyFill="1" applyBorder="1"/>
    <xf numFmtId="0" fontId="10" fillId="0" borderId="0" xfId="9" applyFont="1" applyFill="1" applyBorder="1"/>
    <xf numFmtId="0" fontId="11" fillId="0" borderId="0" xfId="9" applyFont="1" applyFill="1" applyBorder="1"/>
    <xf numFmtId="0" fontId="12" fillId="0" borderId="0" xfId="9" applyFont="1" applyFill="1" applyBorder="1"/>
    <xf numFmtId="170" fontId="12" fillId="0" borderId="0" xfId="9" applyNumberFormat="1" applyFont="1" applyFill="1" applyBorder="1"/>
    <xf numFmtId="168" fontId="12" fillId="0" borderId="0" xfId="9" applyNumberFormat="1" applyFont="1" applyFill="1" applyBorder="1"/>
    <xf numFmtId="0" fontId="12" fillId="0" borderId="12" xfId="9" applyFont="1" applyFill="1" applyBorder="1"/>
    <xf numFmtId="168" fontId="12" fillId="0" borderId="12" xfId="9" applyNumberFormat="1" applyFont="1" applyFill="1" applyBorder="1"/>
    <xf numFmtId="0" fontId="0" fillId="3" borderId="0" xfId="0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9" fontId="0" fillId="4" borderId="0" xfId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 vertical="center" wrapText="1"/>
    </xf>
    <xf numFmtId="167" fontId="0" fillId="4" borderId="0" xfId="1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7" fontId="0" fillId="4" borderId="0" xfId="2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 wrapText="1"/>
    </xf>
    <xf numFmtId="167" fontId="0" fillId="4" borderId="3" xfId="1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7" fontId="2" fillId="4" borderId="5" xfId="2" applyNumberFormat="1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0" fillId="3" borderId="1" xfId="1" applyFon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6" fontId="2" fillId="4" borderId="7" xfId="0" applyNumberFormat="1" applyFont="1" applyFill="1" applyBorder="1" applyAlignment="1">
      <alignment horizontal="center" vertical="center" wrapText="1"/>
    </xf>
    <xf numFmtId="6" fontId="2" fillId="4" borderId="8" xfId="0" applyNumberFormat="1" applyFont="1" applyFill="1" applyBorder="1" applyAlignment="1">
      <alignment horizontal="center" vertical="center" wrapText="1"/>
    </xf>
    <xf numFmtId="6" fontId="6" fillId="3" borderId="1" xfId="0" applyNumberFormat="1" applyFont="1" applyFill="1" applyBorder="1" applyAlignment="1">
      <alignment horizontal="center" vertical="center" wrapText="1"/>
    </xf>
    <xf numFmtId="6" fontId="6" fillId="3" borderId="11" xfId="0" applyNumberFormat="1" applyFont="1" applyFill="1" applyBorder="1" applyAlignment="1">
      <alignment horizontal="center" vertical="center" wrapText="1"/>
    </xf>
    <xf numFmtId="6" fontId="0" fillId="4" borderId="7" xfId="0" applyNumberFormat="1" applyFill="1" applyBorder="1" applyAlignment="1">
      <alignment horizontal="center"/>
    </xf>
    <xf numFmtId="6" fontId="0" fillId="4" borderId="8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70" fontId="0" fillId="4" borderId="7" xfId="1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11" xfId="9" applyFont="1" applyFill="1" applyBorder="1"/>
    <xf numFmtId="0" fontId="1" fillId="4" borderId="3" xfId="9" applyFont="1" applyFill="1" applyBorder="1"/>
    <xf numFmtId="170" fontId="1" fillId="4" borderId="8" xfId="9" applyNumberFormat="1" applyFont="1" applyFill="1" applyBorder="1"/>
    <xf numFmtId="0" fontId="1" fillId="3" borderId="5" xfId="9" applyFont="1" applyFill="1" applyBorder="1" applyAlignment="1">
      <alignment horizontal="center" vertical="center"/>
    </xf>
    <xf numFmtId="0" fontId="1" fillId="3" borderId="9" xfId="9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</cellXfs>
  <cellStyles count="11">
    <cellStyle name="Prozent" xfId="1" builtinId="5"/>
    <cellStyle name="Prozent 2" xfId="8"/>
    <cellStyle name="Prozent 3" xfId="4"/>
    <cellStyle name="Standard" xfId="0" builtinId="0"/>
    <cellStyle name="Standard 2" xfId="6"/>
    <cellStyle name="Standard 2 2" xfId="9"/>
    <cellStyle name="Standard 3" xfId="7"/>
    <cellStyle name="Standard 4" xfId="3"/>
    <cellStyle name="Währung" xfId="2" builtinId="4"/>
    <cellStyle name="Währung 2" xfId="10"/>
    <cellStyle name="Währung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Layout" topLeftCell="A34" zoomScale="85" zoomScaleNormal="100" zoomScalePageLayoutView="85" workbookViewId="0">
      <selection activeCell="G30" sqref="G30"/>
    </sheetView>
  </sheetViews>
  <sheetFormatPr baseColWidth="10" defaultColWidth="11.41015625" defaultRowHeight="15" customHeight="1" x14ac:dyDescent="0.5"/>
  <cols>
    <col min="1" max="1" width="8" style="57" customWidth="1"/>
    <col min="2" max="2" width="36" style="57" customWidth="1"/>
    <col min="3" max="3" width="20.5859375" style="57" customWidth="1"/>
    <col min="4" max="4" width="18.1171875" style="57" customWidth="1"/>
    <col min="5" max="5" width="24.41015625" style="57" customWidth="1"/>
    <col min="6" max="6" width="20.1171875" style="57" customWidth="1"/>
    <col min="7" max="7" width="19.29296875" style="57" customWidth="1"/>
    <col min="8" max="8" width="21.5859375" style="57" customWidth="1"/>
    <col min="9" max="16384" width="11.41015625" style="57"/>
  </cols>
  <sheetData>
    <row r="1" spans="1:8" ht="15" customHeight="1" thickBot="1" x14ac:dyDescent="0.55000000000000004"/>
    <row r="2" spans="1:8" ht="33" customHeight="1" thickBot="1" x14ac:dyDescent="0.55000000000000004">
      <c r="A2" s="137" t="s">
        <v>85</v>
      </c>
      <c r="B2" s="138"/>
      <c r="C2" s="138"/>
      <c r="D2" s="138"/>
      <c r="E2" s="138"/>
      <c r="F2" s="138"/>
      <c r="G2" s="138"/>
      <c r="H2" s="139"/>
    </row>
    <row r="3" spans="1:8" ht="15" customHeight="1" thickBot="1" x14ac:dyDescent="0.55000000000000004">
      <c r="A3" s="76"/>
      <c r="B3" s="77"/>
      <c r="C3" s="77"/>
      <c r="D3" s="77"/>
      <c r="E3" s="77"/>
      <c r="F3" s="77"/>
      <c r="G3" s="77"/>
      <c r="H3" s="130"/>
    </row>
    <row r="4" spans="1:8" ht="15" customHeight="1" x14ac:dyDescent="0.5">
      <c r="A4" s="143" t="s">
        <v>77</v>
      </c>
      <c r="B4" s="90" t="s">
        <v>3</v>
      </c>
      <c r="C4" s="94"/>
      <c r="D4" s="58"/>
      <c r="E4" s="58"/>
      <c r="H4" s="78"/>
    </row>
    <row r="5" spans="1:8" ht="15" customHeight="1" x14ac:dyDescent="0.5">
      <c r="A5" s="144"/>
      <c r="B5" s="91" t="s">
        <v>15</v>
      </c>
      <c r="C5" s="95"/>
      <c r="D5" s="58"/>
      <c r="E5" s="58"/>
      <c r="H5" s="78"/>
    </row>
    <row r="6" spans="1:8" ht="15" customHeight="1" x14ac:dyDescent="0.5">
      <c r="A6" s="144"/>
      <c r="B6" s="91" t="s">
        <v>16</v>
      </c>
      <c r="C6" s="96">
        <v>100</v>
      </c>
      <c r="D6" s="58"/>
      <c r="E6" s="58" t="s">
        <v>34</v>
      </c>
      <c r="F6" s="67">
        <f>C6*C11*PI()/60/1000</f>
        <v>0.20668372720985478</v>
      </c>
      <c r="H6" s="78"/>
    </row>
    <row r="7" spans="1:8" ht="15" customHeight="1" x14ac:dyDescent="0.5">
      <c r="A7" s="144"/>
      <c r="B7" s="91" t="s">
        <v>17</v>
      </c>
      <c r="C7" s="96">
        <v>33</v>
      </c>
      <c r="D7" s="58"/>
      <c r="E7" s="58" t="s">
        <v>35</v>
      </c>
      <c r="F7" s="68">
        <f>C18*1000/(C8*10000)</f>
        <v>2.4803367754581092</v>
      </c>
      <c r="H7" s="78"/>
    </row>
    <row r="8" spans="1:8" ht="15" customHeight="1" x14ac:dyDescent="0.5">
      <c r="A8" s="144"/>
      <c r="B8" s="91" t="s">
        <v>33</v>
      </c>
      <c r="C8" s="97">
        <f>2*PI()*((C6+5)/2)*C6*C7/1000000</f>
        <v>1.0885618544688633</v>
      </c>
      <c r="D8" s="58"/>
      <c r="E8" s="58"/>
      <c r="H8" s="78"/>
    </row>
    <row r="9" spans="1:8" ht="15" customHeight="1" x14ac:dyDescent="0.5">
      <c r="A9" s="144"/>
      <c r="B9" s="91" t="s">
        <v>18</v>
      </c>
      <c r="C9" s="98">
        <v>150</v>
      </c>
      <c r="D9" s="58"/>
      <c r="E9" s="58"/>
      <c r="H9" s="78"/>
    </row>
    <row r="10" spans="1:8" ht="15" customHeight="1" x14ac:dyDescent="0.5">
      <c r="A10" s="144"/>
      <c r="B10" s="91" t="s">
        <v>19</v>
      </c>
      <c r="C10" s="131">
        <v>2.5</v>
      </c>
      <c r="D10" s="58"/>
      <c r="E10" s="58"/>
      <c r="H10" s="78"/>
    </row>
    <row r="11" spans="1:8" ht="15" customHeight="1" x14ac:dyDescent="0.5">
      <c r="A11" s="144"/>
      <c r="B11" s="91" t="s">
        <v>22</v>
      </c>
      <c r="C11" s="131">
        <f>C9/3.8</f>
        <v>39.473684210526315</v>
      </c>
      <c r="D11" s="58"/>
      <c r="E11" s="58"/>
      <c r="H11" s="78"/>
    </row>
    <row r="12" spans="1:8" ht="15" customHeight="1" x14ac:dyDescent="0.5">
      <c r="A12" s="144"/>
      <c r="B12" s="91" t="s">
        <v>83</v>
      </c>
      <c r="C12" s="131"/>
      <c r="D12" s="58"/>
      <c r="E12" s="58"/>
      <c r="H12" s="78"/>
    </row>
    <row r="13" spans="1:8" ht="15" customHeight="1" x14ac:dyDescent="0.5">
      <c r="A13" s="144"/>
      <c r="B13" s="91" t="s">
        <v>84</v>
      </c>
      <c r="C13" s="131"/>
      <c r="D13" s="58"/>
      <c r="E13" s="58"/>
      <c r="H13" s="78"/>
    </row>
    <row r="14" spans="1:8" ht="15" customHeight="1" x14ac:dyDescent="0.5">
      <c r="A14" s="144"/>
      <c r="B14" s="91" t="s">
        <v>27</v>
      </c>
      <c r="C14" s="98">
        <v>8000</v>
      </c>
      <c r="D14" s="58"/>
      <c r="E14" s="58"/>
      <c r="H14" s="78"/>
    </row>
    <row r="15" spans="1:8" ht="15" customHeight="1" thickBot="1" x14ac:dyDescent="0.55000000000000004">
      <c r="A15" s="145"/>
      <c r="B15" s="91" t="s">
        <v>28</v>
      </c>
      <c r="C15" s="99">
        <v>0.13</v>
      </c>
      <c r="D15" s="58"/>
      <c r="E15" s="58"/>
      <c r="H15" s="78"/>
    </row>
    <row r="16" spans="1:8" ht="15" customHeight="1" thickBot="1" x14ac:dyDescent="0.55000000000000004">
      <c r="A16" s="79"/>
      <c r="B16" s="91"/>
      <c r="C16" s="95"/>
      <c r="D16" s="58"/>
      <c r="E16" s="58"/>
      <c r="H16" s="78"/>
    </row>
    <row r="17" spans="1:8" ht="15" customHeight="1" x14ac:dyDescent="0.5">
      <c r="A17" s="143" t="s">
        <v>78</v>
      </c>
      <c r="B17" s="91" t="s">
        <v>21</v>
      </c>
      <c r="C17" s="100">
        <f>C9*0.12</f>
        <v>18</v>
      </c>
      <c r="D17" s="59"/>
      <c r="E17" s="59"/>
      <c r="H17" s="78"/>
    </row>
    <row r="18" spans="1:8" ht="15" customHeight="1" x14ac:dyDescent="0.5">
      <c r="A18" s="144"/>
      <c r="B18" s="91" t="s">
        <v>20</v>
      </c>
      <c r="C18" s="132">
        <f>C17*C10-C17</f>
        <v>27</v>
      </c>
      <c r="D18" s="59"/>
      <c r="E18" s="59"/>
      <c r="H18" s="78"/>
    </row>
    <row r="19" spans="1:8" ht="15" customHeight="1" thickBot="1" x14ac:dyDescent="0.55000000000000004">
      <c r="A19" s="145"/>
      <c r="B19" s="92" t="s">
        <v>13</v>
      </c>
      <c r="C19" s="101">
        <f>C17+C18</f>
        <v>45</v>
      </c>
      <c r="D19" s="59"/>
      <c r="E19" s="59"/>
      <c r="H19" s="78"/>
    </row>
    <row r="20" spans="1:8" ht="15" customHeight="1" x14ac:dyDescent="0.5">
      <c r="A20" s="79"/>
      <c r="B20" s="59"/>
      <c r="C20" s="59"/>
      <c r="D20" s="59"/>
      <c r="E20" s="59"/>
      <c r="H20" s="78"/>
    </row>
    <row r="21" spans="1:8" ht="15" customHeight="1" thickBot="1" x14ac:dyDescent="0.55000000000000004">
      <c r="A21" s="79"/>
      <c r="B21" s="59"/>
      <c r="C21" s="59" t="s">
        <v>81</v>
      </c>
      <c r="D21" s="59" t="s">
        <v>69</v>
      </c>
      <c r="E21" s="59" t="s">
        <v>70</v>
      </c>
      <c r="F21" s="57" t="s">
        <v>71</v>
      </c>
      <c r="G21" s="57" t="s">
        <v>72</v>
      </c>
      <c r="H21" s="78" t="s">
        <v>73</v>
      </c>
    </row>
    <row r="22" spans="1:8" ht="15" customHeight="1" x14ac:dyDescent="0.5">
      <c r="A22" s="140" t="s">
        <v>23</v>
      </c>
      <c r="B22" s="93" t="s">
        <v>24</v>
      </c>
      <c r="C22" s="102"/>
      <c r="D22" s="102"/>
      <c r="E22" s="102"/>
      <c r="F22" s="102"/>
      <c r="G22" s="102"/>
      <c r="H22" s="89"/>
    </row>
    <row r="23" spans="1:8" ht="15" customHeight="1" x14ac:dyDescent="0.5">
      <c r="A23" s="141"/>
      <c r="B23" s="91" t="s">
        <v>14</v>
      </c>
      <c r="C23" s="65">
        <v>30</v>
      </c>
      <c r="D23" s="65">
        <v>30</v>
      </c>
      <c r="E23" s="65">
        <v>21.03</v>
      </c>
      <c r="F23" s="69">
        <v>40</v>
      </c>
      <c r="G23" s="65">
        <v>30</v>
      </c>
      <c r="H23" s="80">
        <v>30</v>
      </c>
    </row>
    <row r="24" spans="1:8" ht="15" customHeight="1" x14ac:dyDescent="0.5">
      <c r="A24" s="141"/>
      <c r="B24" s="91" t="s">
        <v>7</v>
      </c>
      <c r="C24" s="65"/>
      <c r="D24" s="65"/>
      <c r="E24" s="65"/>
      <c r="F24" s="69"/>
      <c r="G24" s="65"/>
      <c r="H24" s="80"/>
    </row>
    <row r="25" spans="1:8" ht="15" customHeight="1" thickBot="1" x14ac:dyDescent="0.55000000000000004">
      <c r="A25" s="141"/>
      <c r="B25" s="91" t="s">
        <v>26</v>
      </c>
      <c r="C25" s="103"/>
      <c r="D25" s="103"/>
      <c r="E25" s="103"/>
      <c r="F25" s="104"/>
      <c r="G25" s="103"/>
      <c r="H25" s="105"/>
    </row>
    <row r="26" spans="1:8" ht="15" customHeight="1" thickBot="1" x14ac:dyDescent="0.55000000000000004">
      <c r="A26" s="141"/>
      <c r="B26" s="91"/>
      <c r="C26" s="59"/>
      <c r="F26" s="60"/>
      <c r="H26" s="78"/>
    </row>
    <row r="27" spans="1:8" ht="15" customHeight="1" x14ac:dyDescent="0.5">
      <c r="A27" s="141"/>
      <c r="B27" s="91" t="s">
        <v>25</v>
      </c>
      <c r="C27" s="106"/>
      <c r="D27" s="106"/>
      <c r="E27" s="106"/>
      <c r="F27" s="102"/>
      <c r="G27" s="102"/>
      <c r="H27" s="89"/>
    </row>
    <row r="28" spans="1:8" ht="15" customHeight="1" x14ac:dyDescent="0.5">
      <c r="A28" s="141"/>
      <c r="B28" s="91" t="s">
        <v>12</v>
      </c>
      <c r="C28" s="66" t="s">
        <v>0</v>
      </c>
      <c r="D28" s="66" t="s">
        <v>87</v>
      </c>
      <c r="E28" s="66" t="s">
        <v>88</v>
      </c>
      <c r="F28" s="70" t="s">
        <v>89</v>
      </c>
      <c r="G28" s="65" t="s">
        <v>90</v>
      </c>
      <c r="H28" s="80" t="s">
        <v>91</v>
      </c>
    </row>
    <row r="29" spans="1:8" ht="15" customHeight="1" x14ac:dyDescent="0.5">
      <c r="A29" s="141"/>
      <c r="B29" s="91" t="s">
        <v>79</v>
      </c>
      <c r="C29" s="64">
        <v>10000</v>
      </c>
      <c r="D29" s="64">
        <v>20000</v>
      </c>
      <c r="E29" s="64">
        <v>20000</v>
      </c>
      <c r="F29" s="63">
        <v>15000</v>
      </c>
      <c r="G29" s="63">
        <v>20000</v>
      </c>
      <c r="H29" s="133">
        <v>10000</v>
      </c>
    </row>
    <row r="30" spans="1:8" ht="15" customHeight="1" x14ac:dyDescent="0.5">
      <c r="A30" s="141"/>
      <c r="B30" s="91" t="s">
        <v>80</v>
      </c>
      <c r="C30" s="64"/>
      <c r="D30" s="64"/>
      <c r="E30" s="64"/>
      <c r="F30" s="63"/>
      <c r="G30" s="63"/>
      <c r="H30" s="133"/>
    </row>
    <row r="31" spans="1:8" ht="15" customHeight="1" x14ac:dyDescent="0.5">
      <c r="A31" s="141"/>
      <c r="B31" s="122" t="s">
        <v>5</v>
      </c>
      <c r="C31" s="66">
        <v>3000</v>
      </c>
      <c r="D31" s="66">
        <v>3000</v>
      </c>
      <c r="E31" s="66">
        <v>1500</v>
      </c>
      <c r="F31" s="65">
        <v>3000</v>
      </c>
      <c r="G31" s="65">
        <v>3000</v>
      </c>
      <c r="H31" s="80">
        <v>2900</v>
      </c>
    </row>
    <row r="32" spans="1:8" ht="15" customHeight="1" x14ac:dyDescent="0.5">
      <c r="A32" s="141"/>
      <c r="B32" s="122" t="s">
        <v>4</v>
      </c>
      <c r="C32" s="65">
        <v>100</v>
      </c>
      <c r="D32" s="65">
        <v>96</v>
      </c>
      <c r="E32" s="65">
        <v>74</v>
      </c>
      <c r="F32" s="65">
        <v>47</v>
      </c>
      <c r="G32" s="65">
        <v>81</v>
      </c>
      <c r="H32" s="80">
        <v>79.099999999999994</v>
      </c>
    </row>
    <row r="33" spans="1:8" ht="15" customHeight="1" x14ac:dyDescent="0.5">
      <c r="A33" s="141"/>
      <c r="B33" s="122" t="s">
        <v>6</v>
      </c>
      <c r="C33" s="65"/>
      <c r="D33" s="65"/>
      <c r="E33" s="65"/>
      <c r="F33" s="65">
        <v>150</v>
      </c>
      <c r="G33" s="65">
        <v>255</v>
      </c>
      <c r="H33" s="80">
        <v>261</v>
      </c>
    </row>
    <row r="34" spans="1:8" ht="15" customHeight="1" x14ac:dyDescent="0.5">
      <c r="A34" s="141"/>
      <c r="B34" s="122" t="s">
        <v>11</v>
      </c>
      <c r="C34" s="65"/>
      <c r="D34" s="65"/>
      <c r="E34" s="65"/>
      <c r="F34" s="65">
        <f>F33*F23</f>
        <v>6000</v>
      </c>
      <c r="G34" s="65">
        <f>G33*G23</f>
        <v>7650</v>
      </c>
      <c r="H34" s="80">
        <f>H33*H23</f>
        <v>7830</v>
      </c>
    </row>
    <row r="35" spans="1:8" ht="15" customHeight="1" thickBot="1" x14ac:dyDescent="0.55000000000000004">
      <c r="A35" s="141"/>
      <c r="B35" s="123" t="s">
        <v>8</v>
      </c>
      <c r="C35" s="103"/>
      <c r="D35" s="103"/>
      <c r="E35" s="103"/>
      <c r="F35" s="103">
        <f>F34*1.8</f>
        <v>10800</v>
      </c>
      <c r="G35" s="103">
        <f>G34*1.8</f>
        <v>13770</v>
      </c>
      <c r="H35" s="105">
        <f>H34*1.2</f>
        <v>9396</v>
      </c>
    </row>
    <row r="36" spans="1:8" ht="15" customHeight="1" thickBot="1" x14ac:dyDescent="0.55000000000000004">
      <c r="A36" s="142"/>
      <c r="H36" s="78"/>
    </row>
    <row r="37" spans="1:8" ht="15" customHeight="1" thickBot="1" x14ac:dyDescent="0.55000000000000004">
      <c r="A37" s="81"/>
      <c r="H37" s="78"/>
    </row>
    <row r="38" spans="1:8" ht="15" customHeight="1" x14ac:dyDescent="0.5">
      <c r="A38" s="140" t="s">
        <v>76</v>
      </c>
      <c r="B38" s="93" t="s">
        <v>9</v>
      </c>
      <c r="C38" s="107">
        <f t="shared" ref="C38:H38" si="0">$C$11*C23/C31</f>
        <v>0.39473684210526311</v>
      </c>
      <c r="D38" s="107">
        <f t="shared" si="0"/>
        <v>0.39473684210526311</v>
      </c>
      <c r="E38" s="107">
        <f t="shared" si="0"/>
        <v>0.55342105263157892</v>
      </c>
      <c r="F38" s="107">
        <f t="shared" si="0"/>
        <v>0.52631578947368418</v>
      </c>
      <c r="G38" s="107">
        <f t="shared" si="0"/>
        <v>0.39473684210526311</v>
      </c>
      <c r="H38" s="108">
        <f t="shared" si="0"/>
        <v>0.4083484573502722</v>
      </c>
    </row>
    <row r="39" spans="1:8" ht="15" customHeight="1" x14ac:dyDescent="0.5">
      <c r="A39" s="141"/>
      <c r="B39" s="91" t="s">
        <v>10</v>
      </c>
      <c r="C39" s="61">
        <f t="shared" ref="C39:H39" si="1">$C$19/C32</f>
        <v>0.45</v>
      </c>
      <c r="D39" s="61">
        <f t="shared" si="1"/>
        <v>0.46875</v>
      </c>
      <c r="E39" s="61">
        <f t="shared" si="1"/>
        <v>0.60810810810810811</v>
      </c>
      <c r="F39" s="61">
        <f t="shared" si="1"/>
        <v>0.95744680851063835</v>
      </c>
      <c r="G39" s="61">
        <f t="shared" si="1"/>
        <v>0.55555555555555558</v>
      </c>
      <c r="H39" s="82">
        <f t="shared" si="1"/>
        <v>0.56890012642225041</v>
      </c>
    </row>
    <row r="40" spans="1:8" ht="15" customHeight="1" thickBot="1" x14ac:dyDescent="0.55000000000000004">
      <c r="A40" s="141"/>
      <c r="B40" s="91" t="s">
        <v>86</v>
      </c>
      <c r="C40" s="134">
        <v>0.8</v>
      </c>
      <c r="D40" s="134">
        <v>0.85</v>
      </c>
      <c r="E40" s="134">
        <v>0.9</v>
      </c>
      <c r="F40" s="135">
        <v>0.93</v>
      </c>
      <c r="G40" s="135">
        <v>0.9</v>
      </c>
      <c r="H40" s="136">
        <v>0.75</v>
      </c>
    </row>
    <row r="41" spans="1:8" ht="15" customHeight="1" thickBot="1" x14ac:dyDescent="0.55000000000000004">
      <c r="A41" s="141"/>
      <c r="B41" s="91"/>
      <c r="C41" s="58"/>
      <c r="D41" s="58"/>
      <c r="E41" s="58"/>
      <c r="F41" s="61"/>
      <c r="G41" s="61"/>
      <c r="H41" s="82"/>
    </row>
    <row r="42" spans="1:8" ht="15" customHeight="1" x14ac:dyDescent="0.5">
      <c r="A42" s="141"/>
      <c r="B42" s="91" t="s">
        <v>31</v>
      </c>
      <c r="C42" s="109">
        <f>$C$19/C40</f>
        <v>56.25</v>
      </c>
      <c r="D42" s="109">
        <f t="shared" ref="D42:H42" si="2">$C$19/D40</f>
        <v>52.941176470588239</v>
      </c>
      <c r="E42" s="109">
        <f t="shared" si="2"/>
        <v>50</v>
      </c>
      <c r="F42" s="109">
        <f t="shared" si="2"/>
        <v>48.387096774193544</v>
      </c>
      <c r="G42" s="109">
        <f t="shared" si="2"/>
        <v>50</v>
      </c>
      <c r="H42" s="110">
        <f t="shared" si="2"/>
        <v>60</v>
      </c>
    </row>
    <row r="43" spans="1:8" ht="15" customHeight="1" x14ac:dyDescent="0.5">
      <c r="A43" s="141"/>
      <c r="B43" s="91" t="s">
        <v>29</v>
      </c>
      <c r="C43" s="72">
        <f>C42*$C$14</f>
        <v>450000</v>
      </c>
      <c r="D43" s="72">
        <f t="shared" ref="D43:H43" si="3">D42*$C$14</f>
        <v>423529.4117647059</v>
      </c>
      <c r="E43" s="72">
        <f t="shared" si="3"/>
        <v>400000</v>
      </c>
      <c r="F43" s="72">
        <f t="shared" si="3"/>
        <v>387096.77419354836</v>
      </c>
      <c r="G43" s="72">
        <f t="shared" si="3"/>
        <v>400000</v>
      </c>
      <c r="H43" s="84">
        <f t="shared" si="3"/>
        <v>480000</v>
      </c>
    </row>
    <row r="44" spans="1:8" ht="15" customHeight="1" thickBot="1" x14ac:dyDescent="0.55000000000000004">
      <c r="A44" s="141"/>
      <c r="B44" s="91" t="s">
        <v>30</v>
      </c>
      <c r="C44" s="111">
        <f>C43*$C$15</f>
        <v>58500</v>
      </c>
      <c r="D44" s="111">
        <f t="shared" ref="D44:H44" si="4">D43*$C$15</f>
        <v>55058.823529411769</v>
      </c>
      <c r="E44" s="111">
        <f t="shared" si="4"/>
        <v>52000</v>
      </c>
      <c r="F44" s="111">
        <f t="shared" si="4"/>
        <v>50322.580645161288</v>
      </c>
      <c r="G44" s="111">
        <f t="shared" si="4"/>
        <v>52000</v>
      </c>
      <c r="H44" s="112">
        <f t="shared" si="4"/>
        <v>62400</v>
      </c>
    </row>
    <row r="45" spans="1:8" ht="15" customHeight="1" thickBot="1" x14ac:dyDescent="0.55000000000000004">
      <c r="A45" s="141"/>
      <c r="B45" s="122"/>
      <c r="H45" s="78"/>
    </row>
    <row r="46" spans="1:8" ht="15" customHeight="1" x14ac:dyDescent="0.5">
      <c r="A46" s="141"/>
      <c r="B46" s="91" t="s">
        <v>32</v>
      </c>
      <c r="C46" s="124">
        <v>0</v>
      </c>
      <c r="D46" s="113">
        <f>D44-C44</f>
        <v>-3441.1764705882306</v>
      </c>
      <c r="E46" s="113">
        <f>E44-$C$44</f>
        <v>-6500</v>
      </c>
      <c r="F46" s="113">
        <f t="shared" ref="F46:H46" si="5">F44-$C$44</f>
        <v>-8177.419354838712</v>
      </c>
      <c r="G46" s="113">
        <f t="shared" si="5"/>
        <v>-6500</v>
      </c>
      <c r="H46" s="114">
        <f t="shared" si="5"/>
        <v>3900</v>
      </c>
    </row>
    <row r="47" spans="1:8" ht="15" customHeight="1" x14ac:dyDescent="0.5">
      <c r="A47" s="141"/>
      <c r="B47" s="91" t="s">
        <v>1</v>
      </c>
      <c r="C47" s="71">
        <f>100-100/C44*C44</f>
        <v>0</v>
      </c>
      <c r="D47" s="71">
        <f>1-D44/$C$44</f>
        <v>5.8823529411764608E-2</v>
      </c>
      <c r="E47" s="71">
        <f t="shared" ref="E47:H47" si="6">1-E44/$C$44</f>
        <v>0.11111111111111116</v>
      </c>
      <c r="F47" s="71">
        <f t="shared" si="6"/>
        <v>0.13978494623655913</v>
      </c>
      <c r="G47" s="71">
        <f t="shared" si="6"/>
        <v>0.11111111111111116</v>
      </c>
      <c r="H47" s="83">
        <f t="shared" si="6"/>
        <v>-6.6666666666666652E-2</v>
      </c>
    </row>
    <row r="48" spans="1:8" ht="15" customHeight="1" x14ac:dyDescent="0.5">
      <c r="A48" s="141"/>
      <c r="B48" s="91" t="s">
        <v>68</v>
      </c>
      <c r="C48" s="73">
        <f t="shared" ref="C48:H48" si="7">C25+C29</f>
        <v>10000</v>
      </c>
      <c r="D48" s="73">
        <f t="shared" si="7"/>
        <v>20000</v>
      </c>
      <c r="E48" s="73">
        <f t="shared" si="7"/>
        <v>20000</v>
      </c>
      <c r="F48" s="73">
        <f t="shared" si="7"/>
        <v>15000</v>
      </c>
      <c r="G48" s="73">
        <f t="shared" si="7"/>
        <v>20000</v>
      </c>
      <c r="H48" s="85">
        <f t="shared" si="7"/>
        <v>10000</v>
      </c>
    </row>
    <row r="49" spans="1:8" ht="15" customHeight="1" thickBot="1" x14ac:dyDescent="0.55000000000000004">
      <c r="A49" s="142"/>
      <c r="B49" s="92" t="s">
        <v>2</v>
      </c>
      <c r="C49" s="115">
        <f t="shared" ref="C49:H49" si="8">C29+C25+C44</f>
        <v>68500</v>
      </c>
      <c r="D49" s="115">
        <f t="shared" si="8"/>
        <v>75058.823529411777</v>
      </c>
      <c r="E49" s="115">
        <f t="shared" si="8"/>
        <v>72000</v>
      </c>
      <c r="F49" s="115">
        <f t="shared" si="8"/>
        <v>65322.580645161288</v>
      </c>
      <c r="G49" s="115">
        <f t="shared" si="8"/>
        <v>72000</v>
      </c>
      <c r="H49" s="116">
        <f t="shared" si="8"/>
        <v>72400</v>
      </c>
    </row>
    <row r="50" spans="1:8" ht="15" customHeight="1" thickBot="1" x14ac:dyDescent="0.55000000000000004">
      <c r="A50" s="81"/>
      <c r="H50" s="78"/>
    </row>
    <row r="51" spans="1:8" ht="15" customHeight="1" x14ac:dyDescent="0.5">
      <c r="A51" s="140" t="s">
        <v>36</v>
      </c>
      <c r="B51" s="90" t="s">
        <v>67</v>
      </c>
      <c r="C51" s="102" t="s">
        <v>82</v>
      </c>
      <c r="D51" s="117">
        <f>Amort_A!$B$16</f>
        <v>4.0400968684982335</v>
      </c>
      <c r="E51" s="117">
        <f>Amort_B!B16</f>
        <v>2.1388748127343553</v>
      </c>
      <c r="F51" s="117">
        <f>Amort_C!B16</f>
        <v>1.2750984460531731</v>
      </c>
      <c r="G51" s="117">
        <f>Amort_D!B16</f>
        <v>2.1388748127343553</v>
      </c>
      <c r="H51" s="118">
        <f>Amort_E!B16</f>
        <v>-1.7823956772786298</v>
      </c>
    </row>
    <row r="52" spans="1:8" ht="15" customHeight="1" x14ac:dyDescent="0.5">
      <c r="A52" s="141"/>
      <c r="B52" s="122" t="s">
        <v>74</v>
      </c>
      <c r="C52" s="65" t="s">
        <v>82</v>
      </c>
      <c r="D52" s="74">
        <f>Amort_A!$B$17</f>
        <v>5.5263499291847458</v>
      </c>
      <c r="E52" s="74">
        <f>Amort_B!B17</f>
        <v>2.6326870418041408</v>
      </c>
      <c r="F52" s="74">
        <f>Amort_C!B17</f>
        <v>1.5045415374293623</v>
      </c>
      <c r="G52" s="74">
        <f>Amort_D!B17</f>
        <v>2.6326870418041408</v>
      </c>
      <c r="H52" s="86">
        <f>Amort_E!B17</f>
        <v>14.999999999999984</v>
      </c>
    </row>
    <row r="53" spans="1:8" ht="15" customHeight="1" x14ac:dyDescent="0.5">
      <c r="A53" s="141"/>
      <c r="B53" s="122" t="s">
        <v>48</v>
      </c>
      <c r="C53" s="65" t="s">
        <v>82</v>
      </c>
      <c r="D53" s="75">
        <f>Amort_A!$B$18</f>
        <v>19531.677390024448</v>
      </c>
      <c r="E53" s="75">
        <f>Amort_B!B18</f>
        <v>54670.946181157386</v>
      </c>
      <c r="F53" s="75">
        <f>Amort_C!B18</f>
        <v>78940.867776294806</v>
      </c>
      <c r="G53" s="74">
        <f>Amort_D!B18</f>
        <v>54670.946181157386</v>
      </c>
      <c r="H53" s="86">
        <f>Amort_E!B18</f>
        <v>0</v>
      </c>
    </row>
    <row r="54" spans="1:8" ht="15" customHeight="1" thickBot="1" x14ac:dyDescent="0.55000000000000004">
      <c r="A54" s="141"/>
      <c r="B54" s="122" t="s">
        <v>75</v>
      </c>
      <c r="C54" s="103" t="s">
        <v>82</v>
      </c>
      <c r="D54" s="119">
        <f>Amort_A!$B$19</f>
        <v>0.1983615451054821</v>
      </c>
      <c r="E54" s="119">
        <f>Amort_B!B19</f>
        <v>0.3689177761358895</v>
      </c>
      <c r="F54" s="119">
        <f>Amort_C!B19</f>
        <v>0.59412247287912523</v>
      </c>
      <c r="G54" s="120">
        <f>Amort_D!B19</f>
        <v>0.3689177761358895</v>
      </c>
      <c r="H54" s="121" t="e">
        <f>Amort_E!B19</f>
        <v>#NUM!</v>
      </c>
    </row>
    <row r="55" spans="1:8" ht="15" customHeight="1" thickBot="1" x14ac:dyDescent="0.55000000000000004">
      <c r="A55" s="141"/>
      <c r="B55" s="122"/>
      <c r="H55" s="78"/>
    </row>
    <row r="56" spans="1:8" ht="15" customHeight="1" x14ac:dyDescent="0.5">
      <c r="A56" s="141"/>
      <c r="B56" s="128" t="s">
        <v>38</v>
      </c>
      <c r="C56" s="125">
        <v>2014</v>
      </c>
      <c r="H56" s="78"/>
    </row>
    <row r="57" spans="1:8" ht="15" customHeight="1" x14ac:dyDescent="0.5">
      <c r="A57" s="141"/>
      <c r="B57" s="128" t="s">
        <v>39</v>
      </c>
      <c r="C57" s="126">
        <v>15</v>
      </c>
      <c r="H57" s="78"/>
    </row>
    <row r="58" spans="1:8" ht="15" customHeight="1" thickBot="1" x14ac:dyDescent="0.55000000000000004">
      <c r="A58" s="142"/>
      <c r="B58" s="129" t="s">
        <v>40</v>
      </c>
      <c r="C58" s="127">
        <v>0.08</v>
      </c>
      <c r="D58" s="87"/>
      <c r="E58" s="87"/>
      <c r="F58" s="87"/>
      <c r="G58" s="87"/>
      <c r="H58" s="88"/>
    </row>
    <row r="59" spans="1:8" ht="15" customHeight="1" x14ac:dyDescent="0.5">
      <c r="B59" s="62"/>
    </row>
  </sheetData>
  <mergeCells count="6">
    <mergeCell ref="A2:H2"/>
    <mergeCell ref="A22:A36"/>
    <mergeCell ref="A17:A19"/>
    <mergeCell ref="A51:A58"/>
    <mergeCell ref="A38:A49"/>
    <mergeCell ref="A4:A15"/>
  </mergeCells>
  <conditionalFormatting sqref="C38:H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9:H3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:H4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">
    <cfRule type="cellIs" dxfId="0" priority="1" operator="greaterThan">
      <formula>0.3</formula>
    </cfRule>
  </conditionalFormatting>
  <pageMargins left="0.7" right="0.7" top="0.78740157499999996" bottom="0.78740157499999996" header="0.3" footer="0.3"/>
  <pageSetup paperSize="9" scale="52" orientation="portrait" r:id="rId1"/>
  <ignoredErrors>
    <ignoredError sqref="E51:E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I15" sqref="I15"/>
    </sheetView>
  </sheetViews>
  <sheetFormatPr baseColWidth="10" defaultRowHeight="14.35" x14ac:dyDescent="0.5"/>
  <cols>
    <col min="1" max="1" width="40.29296875" customWidth="1"/>
    <col min="2" max="2" width="25.41015625" customWidth="1"/>
    <col min="3" max="3" width="16.41015625" customWidth="1"/>
  </cols>
  <sheetData>
    <row r="1" spans="1:28" ht="18" x14ac:dyDescent="0.6">
      <c r="A1" s="50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5">
      <c r="A2" s="52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5">
      <c r="A3" s="52"/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5">
      <c r="A4" s="52"/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5">
      <c r="A5" s="52"/>
      <c r="B5" s="54"/>
      <c r="C5" s="3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5">
      <c r="A6" s="55"/>
      <c r="B6" s="56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x14ac:dyDescent="0.6">
      <c r="A7" s="2" t="s">
        <v>37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5">
      <c r="A8" s="39" t="s">
        <v>38</v>
      </c>
      <c r="B8" s="49">
        <f>Übersicht!C56</f>
        <v>2014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5">
      <c r="A9" s="39" t="s">
        <v>39</v>
      </c>
      <c r="B9" s="49">
        <f>Übersicht!C57</f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5">
      <c r="A10" s="39" t="s">
        <v>40</v>
      </c>
      <c r="B10" s="38">
        <f>Übersicht!C58</f>
        <v>0.08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5">
      <c r="A11" s="39" t="s">
        <v>41</v>
      </c>
      <c r="B11" s="40">
        <f>Übersicht!C48</f>
        <v>10000</v>
      </c>
      <c r="C11" s="33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5">
      <c r="A12" s="39" t="s">
        <v>42</v>
      </c>
      <c r="B12" s="40">
        <f>Übersicht!C46</f>
        <v>0</v>
      </c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5">
      <c r="A13" s="39" t="s">
        <v>43</v>
      </c>
      <c r="B13" s="48">
        <v>0.05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5">
      <c r="A14" s="2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x14ac:dyDescent="0.6">
      <c r="A15" s="36" t="s">
        <v>44</v>
      </c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5">
      <c r="A16" s="47" t="s">
        <v>45</v>
      </c>
      <c r="B16" s="46" t="e">
        <f>B11/(SUM(C25:AA25)/B9)</f>
        <v>#DIV/0!</v>
      </c>
      <c r="C16" s="45">
        <f>MIN(C29:AA29)</f>
        <v>0</v>
      </c>
      <c r="D16" s="44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5">
      <c r="A17" s="39" t="s">
        <v>47</v>
      </c>
      <c r="B17" s="43">
        <f>NPER(B10,PMT(B10,B9,-B18-B11),-B11)</f>
        <v>14.999999999999984</v>
      </c>
      <c r="C17" s="42" t="e">
        <f>MAX(C33:AA33)</f>
        <v>#DIV/0!</v>
      </c>
      <c r="D17" s="41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5">
      <c r="A18" s="39" t="s">
        <v>48</v>
      </c>
      <c r="B18" s="40">
        <f>B37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5">
      <c r="A19" s="39" t="s">
        <v>49</v>
      </c>
      <c r="B19" s="38" t="e">
        <f>IRR(B25:AA25,0.1)</f>
        <v>#NUM!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5">
      <c r="A20" s="27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x14ac:dyDescent="0.6">
      <c r="A21" s="36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3" t="s">
        <v>51</v>
      </c>
    </row>
    <row r="22" spans="1:28" x14ac:dyDescent="0.5">
      <c r="A22" s="9" t="s">
        <v>52</v>
      </c>
      <c r="B22" s="32" t="s">
        <v>53</v>
      </c>
      <c r="C22" s="30" t="s">
        <v>54</v>
      </c>
      <c r="D22" s="30" t="s">
        <v>54</v>
      </c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s="30" t="s">
        <v>54</v>
      </c>
      <c r="L22" s="31" t="s">
        <v>54</v>
      </c>
      <c r="M22" s="30" t="s">
        <v>54</v>
      </c>
      <c r="N22" s="30" t="s">
        <v>54</v>
      </c>
      <c r="O22" s="30" t="s">
        <v>54</v>
      </c>
      <c r="P22" s="30" t="s">
        <v>54</v>
      </c>
      <c r="Q22" s="30" t="s">
        <v>54</v>
      </c>
      <c r="R22" s="30" t="s">
        <v>54</v>
      </c>
      <c r="S22" s="30" t="s">
        <v>54</v>
      </c>
      <c r="T22" s="30" t="s">
        <v>54</v>
      </c>
      <c r="U22" s="30" t="s">
        <v>54</v>
      </c>
      <c r="V22" s="30" t="s">
        <v>54</v>
      </c>
      <c r="W22" s="30" t="s">
        <v>54</v>
      </c>
      <c r="X22" s="30" t="s">
        <v>54</v>
      </c>
      <c r="Y22" s="30" t="s">
        <v>54</v>
      </c>
      <c r="Z22" s="30" t="s">
        <v>54</v>
      </c>
      <c r="AA22" s="30" t="s">
        <v>54</v>
      </c>
      <c r="AB22" s="29">
        <f>AA23-C23</f>
        <v>24</v>
      </c>
    </row>
    <row r="23" spans="1:28" x14ac:dyDescent="0.5">
      <c r="A23" s="27"/>
      <c r="B23" s="28">
        <f>B8</f>
        <v>2014</v>
      </c>
      <c r="C23" s="26">
        <f>B23</f>
        <v>2014</v>
      </c>
      <c r="D23" s="26">
        <f t="shared" ref="D23" si="0">C23+1</f>
        <v>2015</v>
      </c>
      <c r="E23" s="26">
        <f t="shared" ref="E23" si="1">D23+1</f>
        <v>2016</v>
      </c>
      <c r="F23" s="26">
        <f t="shared" ref="F23" si="2">E23+1</f>
        <v>2017</v>
      </c>
      <c r="G23" s="26">
        <f t="shared" ref="G23" si="3">F23+1</f>
        <v>2018</v>
      </c>
      <c r="H23" s="26">
        <f t="shared" ref="H23" si="4">G23+1</f>
        <v>2019</v>
      </c>
      <c r="I23" s="26">
        <f t="shared" ref="I23" si="5">H23+1</f>
        <v>2020</v>
      </c>
      <c r="J23" s="26">
        <f t="shared" ref="J23" si="6">I23+1</f>
        <v>2021</v>
      </c>
      <c r="K23" s="26">
        <f t="shared" ref="K23" si="7">J23+1</f>
        <v>2022</v>
      </c>
      <c r="L23" s="27">
        <f t="shared" ref="L23" si="8">K23+1</f>
        <v>2023</v>
      </c>
      <c r="M23" s="26">
        <f t="shared" ref="M23" si="9">L23+1</f>
        <v>2024</v>
      </c>
      <c r="N23" s="26">
        <f t="shared" ref="N23" si="10">M23+1</f>
        <v>2025</v>
      </c>
      <c r="O23" s="26">
        <f t="shared" ref="O23" si="11">N23+1</f>
        <v>2026</v>
      </c>
      <c r="P23" s="26">
        <f t="shared" ref="P23" si="12">O23+1</f>
        <v>2027</v>
      </c>
      <c r="Q23" s="26">
        <f t="shared" ref="Q23" si="13">P23+1</f>
        <v>2028</v>
      </c>
      <c r="R23" s="26">
        <f t="shared" ref="R23" si="14">Q23+1</f>
        <v>2029</v>
      </c>
      <c r="S23" s="26">
        <f t="shared" ref="S23" si="15">R23+1</f>
        <v>2030</v>
      </c>
      <c r="T23" s="26">
        <f t="shared" ref="T23" si="16">S23+1</f>
        <v>2031</v>
      </c>
      <c r="U23" s="26">
        <f t="shared" ref="U23" si="17">T23+1</f>
        <v>2032</v>
      </c>
      <c r="V23" s="26">
        <f t="shared" ref="V23" si="18">U23+1</f>
        <v>2033</v>
      </c>
      <c r="W23" s="26">
        <f t="shared" ref="W23" si="19">V23+1</f>
        <v>2034</v>
      </c>
      <c r="X23" s="26">
        <f t="shared" ref="X23" si="20">W23+1</f>
        <v>2035</v>
      </c>
      <c r="Y23" s="26">
        <f t="shared" ref="Y23" si="21">X23+1</f>
        <v>2036</v>
      </c>
      <c r="Z23" s="26">
        <f t="shared" ref="Z23" si="22">Y23+1</f>
        <v>2037</v>
      </c>
      <c r="AA23" s="26">
        <f t="shared" ref="AA23" si="23">Z23+1</f>
        <v>2038</v>
      </c>
      <c r="AB23" s="3"/>
    </row>
    <row r="24" spans="1:28" x14ac:dyDescent="0.5">
      <c r="A24" s="21" t="s">
        <v>55</v>
      </c>
      <c r="B24" s="17">
        <f>B11</f>
        <v>10000</v>
      </c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"/>
    </row>
    <row r="25" spans="1:28" x14ac:dyDescent="0.5">
      <c r="A25" s="21" t="s">
        <v>56</v>
      </c>
      <c r="B25" s="23">
        <f>B32</f>
        <v>-10000</v>
      </c>
      <c r="C25" s="19">
        <f t="shared" ref="C25:AA25" si="24">IF(C23&lt;=$B$23+$B$9-1,$B$12*(1+$B$13)^(C23-$B$23),0)</f>
        <v>0</v>
      </c>
      <c r="D25" s="19">
        <f t="shared" si="24"/>
        <v>0</v>
      </c>
      <c r="E25" s="19">
        <f t="shared" si="24"/>
        <v>0</v>
      </c>
      <c r="F25" s="19">
        <f t="shared" si="24"/>
        <v>0</v>
      </c>
      <c r="G25" s="19">
        <f t="shared" si="24"/>
        <v>0</v>
      </c>
      <c r="H25" s="19">
        <f t="shared" si="24"/>
        <v>0</v>
      </c>
      <c r="I25" s="19">
        <f t="shared" si="24"/>
        <v>0</v>
      </c>
      <c r="J25" s="19">
        <f t="shared" si="24"/>
        <v>0</v>
      </c>
      <c r="K25" s="19">
        <f t="shared" si="24"/>
        <v>0</v>
      </c>
      <c r="L25" s="20">
        <f t="shared" si="24"/>
        <v>0</v>
      </c>
      <c r="M25" s="19">
        <f t="shared" si="24"/>
        <v>0</v>
      </c>
      <c r="N25" s="19">
        <f t="shared" si="24"/>
        <v>0</v>
      </c>
      <c r="O25" s="19">
        <f t="shared" si="24"/>
        <v>0</v>
      </c>
      <c r="P25" s="19">
        <f t="shared" si="24"/>
        <v>0</v>
      </c>
      <c r="Q25" s="19">
        <f t="shared" si="24"/>
        <v>0</v>
      </c>
      <c r="R25" s="19">
        <f t="shared" si="24"/>
        <v>0</v>
      </c>
      <c r="S25" s="19">
        <f t="shared" si="24"/>
        <v>0</v>
      </c>
      <c r="T25" s="19">
        <f t="shared" si="24"/>
        <v>0</v>
      </c>
      <c r="U25" s="19">
        <f t="shared" si="24"/>
        <v>0</v>
      </c>
      <c r="V25" s="19">
        <f t="shared" si="24"/>
        <v>0</v>
      </c>
      <c r="W25" s="19">
        <f t="shared" si="24"/>
        <v>0</v>
      </c>
      <c r="X25" s="19">
        <f t="shared" si="24"/>
        <v>0</v>
      </c>
      <c r="Y25" s="19">
        <f t="shared" si="24"/>
        <v>0</v>
      </c>
      <c r="Z25" s="19">
        <f t="shared" si="24"/>
        <v>0</v>
      </c>
      <c r="AA25" s="19">
        <f t="shared" si="24"/>
        <v>0</v>
      </c>
      <c r="AB25" s="3"/>
    </row>
    <row r="26" spans="1:28" x14ac:dyDescent="0.5">
      <c r="A26" s="18" t="s">
        <v>57</v>
      </c>
      <c r="B26" s="23"/>
      <c r="C26" s="19">
        <f t="shared" ref="C26:AA26" si="25">C25/12</f>
        <v>0</v>
      </c>
      <c r="D26" s="19">
        <f t="shared" si="25"/>
        <v>0</v>
      </c>
      <c r="E26" s="19">
        <f t="shared" si="25"/>
        <v>0</v>
      </c>
      <c r="F26" s="19">
        <f t="shared" si="25"/>
        <v>0</v>
      </c>
      <c r="G26" s="19">
        <f t="shared" si="25"/>
        <v>0</v>
      </c>
      <c r="H26" s="19">
        <f t="shared" si="25"/>
        <v>0</v>
      </c>
      <c r="I26" s="19">
        <f t="shared" si="25"/>
        <v>0</v>
      </c>
      <c r="J26" s="19">
        <f t="shared" si="25"/>
        <v>0</v>
      </c>
      <c r="K26" s="19">
        <f t="shared" si="25"/>
        <v>0</v>
      </c>
      <c r="L26" s="19">
        <f t="shared" si="25"/>
        <v>0</v>
      </c>
      <c r="M26" s="19">
        <f t="shared" si="25"/>
        <v>0</v>
      </c>
      <c r="N26" s="19">
        <f t="shared" si="25"/>
        <v>0</v>
      </c>
      <c r="O26" s="19">
        <f t="shared" si="25"/>
        <v>0</v>
      </c>
      <c r="P26" s="19">
        <f t="shared" si="25"/>
        <v>0</v>
      </c>
      <c r="Q26" s="19">
        <f t="shared" si="25"/>
        <v>0</v>
      </c>
      <c r="R26" s="19">
        <f t="shared" si="25"/>
        <v>0</v>
      </c>
      <c r="S26" s="19">
        <f t="shared" si="25"/>
        <v>0</v>
      </c>
      <c r="T26" s="19">
        <f t="shared" si="25"/>
        <v>0</v>
      </c>
      <c r="U26" s="19">
        <f t="shared" si="25"/>
        <v>0</v>
      </c>
      <c r="V26" s="19">
        <f t="shared" si="25"/>
        <v>0</v>
      </c>
      <c r="W26" s="19">
        <f t="shared" si="25"/>
        <v>0</v>
      </c>
      <c r="X26" s="19">
        <f t="shared" si="25"/>
        <v>0</v>
      </c>
      <c r="Y26" s="19">
        <f t="shared" si="25"/>
        <v>0</v>
      </c>
      <c r="Z26" s="19">
        <f t="shared" si="25"/>
        <v>0</v>
      </c>
      <c r="AA26" s="19">
        <f t="shared" si="25"/>
        <v>0</v>
      </c>
      <c r="AB26" s="3"/>
    </row>
    <row r="27" spans="1:28" x14ac:dyDescent="0.5">
      <c r="A27" s="18" t="s">
        <v>58</v>
      </c>
      <c r="B27" s="23"/>
      <c r="C27" s="19">
        <f>C25</f>
        <v>0</v>
      </c>
      <c r="D27" s="19">
        <f t="shared" ref="D27" si="26">D25+C27</f>
        <v>0</v>
      </c>
      <c r="E27" s="19">
        <f t="shared" ref="E27" si="27">E25+D27</f>
        <v>0</v>
      </c>
      <c r="F27" s="19">
        <f t="shared" ref="F27" si="28">F25+E27</f>
        <v>0</v>
      </c>
      <c r="G27" s="19">
        <f t="shared" ref="G27" si="29">G25+F27</f>
        <v>0</v>
      </c>
      <c r="H27" s="19">
        <f t="shared" ref="H27" si="30">H25+G27</f>
        <v>0</v>
      </c>
      <c r="I27" s="19">
        <f t="shared" ref="I27" si="31">I25+H27</f>
        <v>0</v>
      </c>
      <c r="J27" s="19">
        <f t="shared" ref="J27" si="32">J25+I27</f>
        <v>0</v>
      </c>
      <c r="K27" s="19">
        <f t="shared" ref="K27" si="33">K25+J27</f>
        <v>0</v>
      </c>
      <c r="L27" s="19">
        <f t="shared" ref="L27" si="34">L25+K27</f>
        <v>0</v>
      </c>
      <c r="M27" s="19">
        <f t="shared" ref="M27" si="35">M25+L27</f>
        <v>0</v>
      </c>
      <c r="N27" s="19">
        <f t="shared" ref="N27" si="36">N25+M27</f>
        <v>0</v>
      </c>
      <c r="O27" s="19">
        <f t="shared" ref="O27" si="37">O25+N27</f>
        <v>0</v>
      </c>
      <c r="P27" s="19">
        <f t="shared" ref="P27" si="38">P25+O27</f>
        <v>0</v>
      </c>
      <c r="Q27" s="19">
        <f t="shared" ref="Q27" si="39">Q25+P27</f>
        <v>0</v>
      </c>
      <c r="R27" s="19">
        <f t="shared" ref="R27" si="40">R25+Q27</f>
        <v>0</v>
      </c>
      <c r="S27" s="19">
        <f t="shared" ref="S27" si="41">S25+R27</f>
        <v>0</v>
      </c>
      <c r="T27" s="19">
        <f t="shared" ref="T27" si="42">T25+S27</f>
        <v>0</v>
      </c>
      <c r="U27" s="19">
        <f t="shared" ref="U27" si="43">U25+T27</f>
        <v>0</v>
      </c>
      <c r="V27" s="19">
        <f t="shared" ref="V27" si="44">V25+U27</f>
        <v>0</v>
      </c>
      <c r="W27" s="19">
        <f t="shared" ref="W27" si="45">W25+V27</f>
        <v>0</v>
      </c>
      <c r="X27" s="19">
        <f t="shared" ref="X27" si="46">X25+W27</f>
        <v>0</v>
      </c>
      <c r="Y27" s="19">
        <f t="shared" ref="Y27" si="47">Y25+X27</f>
        <v>0</v>
      </c>
      <c r="Z27" s="19">
        <f t="shared" ref="Z27" si="48">Z25+Y27</f>
        <v>0</v>
      </c>
      <c r="AA27" s="19">
        <f t="shared" ref="AA27" si="49">AA25+Z27</f>
        <v>0</v>
      </c>
      <c r="AB27" s="3"/>
    </row>
    <row r="28" spans="1:28" x14ac:dyDescent="0.5">
      <c r="A28" s="18" t="s">
        <v>59</v>
      </c>
      <c r="B28" s="23"/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24">
        <v>10</v>
      </c>
      <c r="M28" s="24">
        <v>11</v>
      </c>
      <c r="N28" s="24">
        <v>12</v>
      </c>
      <c r="O28" s="24">
        <v>13</v>
      </c>
      <c r="P28" s="24">
        <v>14</v>
      </c>
      <c r="Q28" s="24">
        <v>15</v>
      </c>
      <c r="R28" s="24">
        <v>16</v>
      </c>
      <c r="S28" s="24">
        <v>17</v>
      </c>
      <c r="T28" s="24">
        <v>18</v>
      </c>
      <c r="U28" s="24">
        <v>19</v>
      </c>
      <c r="V28" s="24">
        <v>20</v>
      </c>
      <c r="W28" s="24">
        <v>21</v>
      </c>
      <c r="X28" s="24">
        <v>22</v>
      </c>
      <c r="Y28" s="24">
        <v>23</v>
      </c>
      <c r="Z28" s="24">
        <v>24</v>
      </c>
      <c r="AA28" s="24">
        <v>25</v>
      </c>
      <c r="AB28" s="3"/>
    </row>
    <row r="29" spans="1:28" x14ac:dyDescent="0.5">
      <c r="A29" s="18" t="s">
        <v>60</v>
      </c>
      <c r="B29" s="23"/>
      <c r="C29" s="16" t="str">
        <f t="shared" ref="C29" si="50">IF(AND(C27&gt;=$B$11,B27&lt;=$B$11),B28+($B$11-B27)/C25,"-")</f>
        <v>-</v>
      </c>
      <c r="D29" s="16" t="str">
        <f t="shared" ref="D29" si="51">IF(AND(D27&gt;=$B$11,C27&lt;=$B$11),C28+($B$11-C27)/D25,"-")</f>
        <v>-</v>
      </c>
      <c r="E29" s="16" t="str">
        <f t="shared" ref="E29" si="52">IF(AND(E27&gt;=$B$11,D27&lt;=$B$11),D28+($B$11-D27)/E25,"-")</f>
        <v>-</v>
      </c>
      <c r="F29" s="16" t="str">
        <f t="shared" ref="F29" si="53">IF(AND(F27&gt;=$B$11,E27&lt;=$B$11),E28+($B$11-E27)/F25,"-")</f>
        <v>-</v>
      </c>
      <c r="G29" s="16" t="str">
        <f t="shared" ref="G29" si="54">IF(AND(G27&gt;=$B$11,F27&lt;=$B$11),F28+($B$11-F27)/G25,"-")</f>
        <v>-</v>
      </c>
      <c r="H29" s="16" t="str">
        <f t="shared" ref="H29" si="55">IF(AND(H27&gt;=$B$11,G27&lt;=$B$11),G28+($B$11-G27)/H25,"-")</f>
        <v>-</v>
      </c>
      <c r="I29" s="16" t="str">
        <f t="shared" ref="I29" si="56">IF(AND(I27&gt;=$B$11,H27&lt;=$B$11),H28+($B$11-H27)/I25,"-")</f>
        <v>-</v>
      </c>
      <c r="J29" s="16" t="str">
        <f t="shared" ref="J29" si="57">IF(AND(J27&gt;=$B$11,I27&lt;=$B$11),I28+($B$11-I27)/J25,"-")</f>
        <v>-</v>
      </c>
      <c r="K29" s="16" t="str">
        <f t="shared" ref="K29" si="58">IF(AND(K27&gt;=$B$11,J27&lt;=$B$11),J28+($B$11-J27)/K25,"-")</f>
        <v>-</v>
      </c>
      <c r="L29" s="16" t="str">
        <f t="shared" ref="L29" si="59">IF(AND(L27&gt;=$B$11,K27&lt;=$B$11),K28+($B$11-K27)/L25,"-")</f>
        <v>-</v>
      </c>
      <c r="M29" s="16" t="str">
        <f t="shared" ref="M29" si="60">IF(AND(M27&gt;=$B$11,L27&lt;=$B$11),L28+($B$11-L27)/M25,"-")</f>
        <v>-</v>
      </c>
      <c r="N29" s="16" t="str">
        <f t="shared" ref="N29" si="61">IF(AND(N27&gt;=$B$11,M27&lt;=$B$11),M28+($B$11-M27)/N25,"-")</f>
        <v>-</v>
      </c>
      <c r="O29" s="16" t="str">
        <f t="shared" ref="O29" si="62">IF(AND(O27&gt;=$B$11,N27&lt;=$B$11),N28+($B$11-N27)/O25,"-")</f>
        <v>-</v>
      </c>
      <c r="P29" s="16" t="str">
        <f t="shared" ref="P29" si="63">IF(AND(P27&gt;=$B$11,O27&lt;=$B$11),O28+($B$11-O27)/P25,"-")</f>
        <v>-</v>
      </c>
      <c r="Q29" s="16" t="str">
        <f t="shared" ref="Q29" si="64">IF(AND(Q27&gt;=$B$11,P27&lt;=$B$11),P28+($B$11-P27)/Q25,"-")</f>
        <v>-</v>
      </c>
      <c r="R29" s="16" t="str">
        <f t="shared" ref="R29" si="65">IF(AND(R27&gt;=$B$11,Q27&lt;=$B$11),Q28+($B$11-Q27)/R25,"-")</f>
        <v>-</v>
      </c>
      <c r="S29" s="16" t="str">
        <f t="shared" ref="S29" si="66">IF(AND(S27&gt;=$B$11,R27&lt;=$B$11),R28+($B$11-R27)/S25,"-")</f>
        <v>-</v>
      </c>
      <c r="T29" s="16" t="str">
        <f t="shared" ref="T29" si="67">IF(AND(T27&gt;=$B$11,S27&lt;=$B$11),S28+($B$11-S27)/T25,"-")</f>
        <v>-</v>
      </c>
      <c r="U29" s="16" t="str">
        <f t="shared" ref="U29" si="68">IF(AND(U27&gt;=$B$11,T27&lt;=$B$11),T28+($B$11-T27)/U25,"-")</f>
        <v>-</v>
      </c>
      <c r="V29" s="16" t="str">
        <f t="shared" ref="V29" si="69">IF(AND(V27&gt;=$B$11,U27&lt;=$B$11),U28+($B$11-U27)/V25,"-")</f>
        <v>-</v>
      </c>
      <c r="W29" s="16" t="str">
        <f t="shared" ref="W29" si="70">IF(AND(W27&gt;=$B$11,V27&lt;=$B$11),V28+($B$11-V27)/W25,"-")</f>
        <v>-</v>
      </c>
      <c r="X29" s="16" t="str">
        <f t="shared" ref="X29" si="71">IF(AND(X27&gt;=$B$11,W27&lt;=$B$11),W28+($B$11-W27)/X25,"-")</f>
        <v>-</v>
      </c>
      <c r="Y29" s="16" t="str">
        <f t="shared" ref="Y29" si="72">IF(AND(Y27&gt;=$B$11,X27&lt;=$B$11),X28+($B$11-X27)/Y25,"-")</f>
        <v>-</v>
      </c>
      <c r="Z29" s="16" t="str">
        <f t="shared" ref="Z29" si="73">IF(AND(Z27&gt;=$B$11,Y27&lt;=$B$11),Y28+($B$11-Y27)/Z25,"-")</f>
        <v>-</v>
      </c>
      <c r="AA29" s="16" t="str">
        <f t="shared" ref="AA29" si="74">IF(AND(AA27&gt;=$B$11,Z27&lt;=$B$11),Z28+($B$11-Z27)/AA25,"-")</f>
        <v>-</v>
      </c>
      <c r="AB29" s="3"/>
    </row>
    <row r="30" spans="1:28" x14ac:dyDescent="0.5">
      <c r="A30" s="21" t="s">
        <v>61</v>
      </c>
      <c r="B30" s="22"/>
      <c r="C30" s="19">
        <f t="shared" ref="C30" si="75">IF(AND(B32&lt;0,C25&gt;0),B32*$B$10,0)</f>
        <v>0</v>
      </c>
      <c r="D30" s="19">
        <f t="shared" ref="D30" si="76">IF(AND(C32&lt;0,D25&gt;0),C32*$B$10,0)</f>
        <v>0</v>
      </c>
      <c r="E30" s="19">
        <f t="shared" ref="E30" si="77">IF(AND(D32&lt;0,E25&gt;0),D32*$B$10,0)</f>
        <v>0</v>
      </c>
      <c r="F30" s="19">
        <f t="shared" ref="F30" si="78">IF(AND(E32&lt;0,F25&gt;0),E32*$B$10,0)</f>
        <v>0</v>
      </c>
      <c r="G30" s="19">
        <f t="shared" ref="G30" si="79">IF(AND(F32&lt;0,G25&gt;0),F32*$B$10,0)</f>
        <v>0</v>
      </c>
      <c r="H30" s="19">
        <f t="shared" ref="H30" si="80">IF(AND(G32&lt;0,H25&gt;0),G32*$B$10,0)</f>
        <v>0</v>
      </c>
      <c r="I30" s="19">
        <f t="shared" ref="I30" si="81">IF(AND(H32&lt;0,I25&gt;0),H32*$B$10,0)</f>
        <v>0</v>
      </c>
      <c r="J30" s="19">
        <f t="shared" ref="J30" si="82">IF(AND(I32&lt;0,J25&gt;0),I32*$B$10,0)</f>
        <v>0</v>
      </c>
      <c r="K30" s="19">
        <f t="shared" ref="K30" si="83">IF(AND(J32&lt;0,K25&gt;0),J32*$B$10,0)</f>
        <v>0</v>
      </c>
      <c r="L30" s="20">
        <f t="shared" ref="L30" si="84">IF(AND(K32&lt;0,L25&gt;0),K32*$B$10,0)</f>
        <v>0</v>
      </c>
      <c r="M30" s="19">
        <f t="shared" ref="M30" si="85">IF(AND(L32&lt;0,M25&gt;0),L32*$B$10,0)</f>
        <v>0</v>
      </c>
      <c r="N30" s="19">
        <f t="shared" ref="N30" si="86">IF(AND(M32&lt;0,N25&gt;0),M32*$B$10,0)</f>
        <v>0</v>
      </c>
      <c r="O30" s="19">
        <f t="shared" ref="O30" si="87">IF(AND(N32&lt;0,O25&gt;0),N32*$B$10,0)</f>
        <v>0</v>
      </c>
      <c r="P30" s="19">
        <f t="shared" ref="P30" si="88">IF(AND(O32&lt;0,P25&gt;0),O32*$B$10,0)</f>
        <v>0</v>
      </c>
      <c r="Q30" s="19">
        <f t="shared" ref="Q30" si="89">IF(AND(P32&lt;0,Q25&gt;0),P32*$B$10,0)</f>
        <v>0</v>
      </c>
      <c r="R30" s="19">
        <f t="shared" ref="R30" si="90">IF(AND(Q32&lt;0,R25&gt;0),Q32*$B$10,0)</f>
        <v>0</v>
      </c>
      <c r="S30" s="19">
        <f t="shared" ref="S30" si="91">IF(AND(R32&lt;0,S25&gt;0),R32*$B$10,0)</f>
        <v>0</v>
      </c>
      <c r="T30" s="19">
        <f t="shared" ref="T30" si="92">IF(AND(S32&lt;0,T25&gt;0),S32*$B$10,0)</f>
        <v>0</v>
      </c>
      <c r="U30" s="19">
        <f t="shared" ref="U30" si="93">IF(AND(T32&lt;0,U25&gt;0),T32*$B$10,0)</f>
        <v>0</v>
      </c>
      <c r="V30" s="19">
        <f t="shared" ref="V30" si="94">IF(AND(U32&lt;0,V25&gt;0),U32*$B$10,0)</f>
        <v>0</v>
      </c>
      <c r="W30" s="19">
        <f t="shared" ref="W30" si="95">IF(AND(V32&lt;0,W25&gt;0),V32*$B$10,0)</f>
        <v>0</v>
      </c>
      <c r="X30" s="19">
        <f t="shared" ref="X30" si="96">IF(AND(W32&lt;0,X25&gt;0),W32*$B$10,0)</f>
        <v>0</v>
      </c>
      <c r="Y30" s="19">
        <f t="shared" ref="Y30" si="97">IF(AND(X32&lt;0,Y25&gt;0),X32*$B$10,0)</f>
        <v>0</v>
      </c>
      <c r="Z30" s="19">
        <f t="shared" ref="Z30" si="98">IF(AND(Y32&lt;0,Z25&gt;0),Y32*$B$10,0)</f>
        <v>0</v>
      </c>
      <c r="AA30" s="19">
        <f t="shared" ref="AA30" si="99">IF(AND(Z32&lt;0,AA25&gt;0),Z32*$B$10,0)</f>
        <v>0</v>
      </c>
      <c r="AB30" s="3"/>
    </row>
    <row r="31" spans="1:28" x14ac:dyDescent="0.5">
      <c r="A31" s="21" t="s">
        <v>62</v>
      </c>
      <c r="B31" s="22"/>
      <c r="C31" s="19">
        <f t="shared" ref="C31" si="100">IF(B32&lt;0,IF(B32&lt;-C25-C30,-C25-C30,B32),0)</f>
        <v>0</v>
      </c>
      <c r="D31" s="19">
        <f t="shared" ref="D31" si="101">IF(C32&lt;0,IF(C32&lt;-D25-D30,-D25-D30,C32),0)</f>
        <v>0</v>
      </c>
      <c r="E31" s="19">
        <f t="shared" ref="E31" si="102">IF(D32&lt;0,IF(D32&lt;-E25-E30,-E25-E30,D32),0)</f>
        <v>0</v>
      </c>
      <c r="F31" s="19">
        <f t="shared" ref="F31" si="103">IF(E32&lt;0,IF(E32&lt;-F25-F30,-F25-F30,E32),0)</f>
        <v>0</v>
      </c>
      <c r="G31" s="19">
        <f t="shared" ref="G31" si="104">IF(F32&lt;0,IF(F32&lt;-G25-G30,-G25-G30,F32),0)</f>
        <v>0</v>
      </c>
      <c r="H31" s="19">
        <f t="shared" ref="H31" si="105">IF(G32&lt;0,IF(G32&lt;-H25-H30,-H25-H30,G32),0)</f>
        <v>0</v>
      </c>
      <c r="I31" s="19">
        <f t="shared" ref="I31" si="106">IF(H32&lt;0,IF(H32&lt;-I25-I30,-I25-I30,H32),0)</f>
        <v>0</v>
      </c>
      <c r="J31" s="19">
        <f t="shared" ref="J31" si="107">IF(I32&lt;0,IF(I32&lt;-J25-J30,-J25-J30,I32),0)</f>
        <v>0</v>
      </c>
      <c r="K31" s="19">
        <f t="shared" ref="K31" si="108">IF(J32&lt;0,IF(J32&lt;-K25-K30,-K25-K30,J32),0)</f>
        <v>0</v>
      </c>
      <c r="L31" s="20">
        <f t="shared" ref="L31" si="109">IF(K32&lt;0,IF(K32&lt;-L25-L30,-L25-L30,K32),0)</f>
        <v>0</v>
      </c>
      <c r="M31" s="19">
        <f t="shared" ref="M31" si="110">IF(L32&lt;0,IF(L32&lt;-M25-M30,-M25-M30,L32),0)</f>
        <v>0</v>
      </c>
      <c r="N31" s="19">
        <f t="shared" ref="N31" si="111">IF(M32&lt;0,IF(M32&lt;-N25-N30,-N25-N30,M32),0)</f>
        <v>0</v>
      </c>
      <c r="O31" s="19">
        <f t="shared" ref="O31" si="112">IF(N32&lt;0,IF(N32&lt;-O25-O30,-O25-O30,N32),0)</f>
        <v>0</v>
      </c>
      <c r="P31" s="19">
        <f t="shared" ref="P31" si="113">IF(O32&lt;0,IF(O32&lt;-P25-P30,-P25-P30,O32),0)</f>
        <v>0</v>
      </c>
      <c r="Q31" s="19">
        <f t="shared" ref="Q31" si="114">IF(P32&lt;0,IF(P32&lt;-Q25-Q30,-Q25-Q30,P32),0)</f>
        <v>0</v>
      </c>
      <c r="R31" s="19">
        <f t="shared" ref="R31" si="115">IF(Q32&lt;0,IF(Q32&lt;-R25-R30,-R25-R30,Q32),0)</f>
        <v>0</v>
      </c>
      <c r="S31" s="19">
        <f t="shared" ref="S31" si="116">IF(R32&lt;0,IF(R32&lt;-S25-S30,-S25-S30,R32),0)</f>
        <v>0</v>
      </c>
      <c r="T31" s="19">
        <f t="shared" ref="T31" si="117">IF(S32&lt;0,IF(S32&lt;-T25-T30,-T25-T30,S32),0)</f>
        <v>0</v>
      </c>
      <c r="U31" s="19">
        <f t="shared" ref="U31" si="118">IF(T32&lt;0,IF(T32&lt;-U25-U30,-U25-U30,T32),0)</f>
        <v>0</v>
      </c>
      <c r="V31" s="19">
        <f t="shared" ref="V31" si="119">IF(U32&lt;0,IF(U32&lt;-V25-V30,-V25-V30,U32),0)</f>
        <v>0</v>
      </c>
      <c r="W31" s="19">
        <f t="shared" ref="W31" si="120">IF(V32&lt;0,IF(V32&lt;-W25-W30,-W25-W30,V32),0)</f>
        <v>0</v>
      </c>
      <c r="X31" s="19">
        <f t="shared" ref="X31" si="121">IF(W32&lt;0,IF(W32&lt;-X25-X30,-X25-X30,W32),0)</f>
        <v>0</v>
      </c>
      <c r="Y31" s="19">
        <f t="shared" ref="Y31" si="122">IF(X32&lt;0,IF(X32&lt;-Y25-Y30,-Y25-Y30,X32),0)</f>
        <v>0</v>
      </c>
      <c r="Z31" s="19">
        <f t="shared" ref="Z31" si="123">IF(Y32&lt;0,IF(Y32&lt;-Z25-Z30,-Z25-Z30,Y32),0)</f>
        <v>0</v>
      </c>
      <c r="AA31" s="19">
        <f t="shared" ref="AA31" si="124">IF(Z32&lt;0,IF(Z32&lt;-AA25-AA30,-AA25-AA30,Z32),0)</f>
        <v>0</v>
      </c>
      <c r="AB31" s="3"/>
    </row>
    <row r="32" spans="1:28" x14ac:dyDescent="0.5">
      <c r="A32" s="21" t="s">
        <v>63</v>
      </c>
      <c r="B32" s="17">
        <f>-B24</f>
        <v>-10000</v>
      </c>
      <c r="C32" s="19">
        <f t="shared" ref="C32" si="125">IF(AND(B32-C31&lt;0,C25&gt;0),B32-C31,0)</f>
        <v>0</v>
      </c>
      <c r="D32" s="19">
        <f t="shared" ref="D32" si="126">IF(AND(C32-D31&lt;0,D25&gt;0),C32-D31,0)</f>
        <v>0</v>
      </c>
      <c r="E32" s="19">
        <f t="shared" ref="E32" si="127">IF(AND(D32-E31&lt;0,E25&gt;0),D32-E31,0)</f>
        <v>0</v>
      </c>
      <c r="F32" s="19">
        <f t="shared" ref="F32" si="128">IF(AND(E32-F31&lt;0,F25&gt;0),E32-F31,0)</f>
        <v>0</v>
      </c>
      <c r="G32" s="19">
        <f t="shared" ref="G32" si="129">IF(AND(F32-G31&lt;0,G25&gt;0),F32-G31,0)</f>
        <v>0</v>
      </c>
      <c r="H32" s="19">
        <f t="shared" ref="H32" si="130">IF(AND(G32-H31&lt;0,H25&gt;0),G32-H31,0)</f>
        <v>0</v>
      </c>
      <c r="I32" s="19">
        <f t="shared" ref="I32" si="131">IF(AND(H32-I31&lt;0,I25&gt;0),H32-I31,0)</f>
        <v>0</v>
      </c>
      <c r="J32" s="19">
        <f t="shared" ref="J32" si="132">IF(AND(I32-J31&lt;0,J25&gt;0),I32-J31,0)</f>
        <v>0</v>
      </c>
      <c r="K32" s="19">
        <f t="shared" ref="K32" si="133">IF(AND(J32-K31&lt;0,K25&gt;0),J32-K31,0)</f>
        <v>0</v>
      </c>
      <c r="L32" s="20">
        <f t="shared" ref="L32" si="134">IF(AND(K32-L31&lt;0,L25&gt;0),K32-L31,0)</f>
        <v>0</v>
      </c>
      <c r="M32" s="19">
        <f t="shared" ref="M32" si="135">IF(AND(L32-M31&lt;0,M25&gt;0),L32-M31,0)</f>
        <v>0</v>
      </c>
      <c r="N32" s="19">
        <f t="shared" ref="N32" si="136">IF(AND(M32-N31&lt;0,N25&gt;0),M32-N31,0)</f>
        <v>0</v>
      </c>
      <c r="O32" s="19">
        <f t="shared" ref="O32" si="137">IF(AND(N32-O31&lt;0,O25&gt;0),N32-O31,0)</f>
        <v>0</v>
      </c>
      <c r="P32" s="19">
        <f t="shared" ref="P32" si="138">IF(AND(O32-P31&lt;0,P25&gt;0),O32-P31,0)</f>
        <v>0</v>
      </c>
      <c r="Q32" s="19">
        <f t="shared" ref="Q32" si="139">IF(AND(P32-Q31&lt;0,Q25&gt;0),P32-Q31,0)</f>
        <v>0</v>
      </c>
      <c r="R32" s="19">
        <f t="shared" ref="R32" si="140">IF(AND(Q32-R31&lt;0,R25&gt;0),Q32-R31,0)</f>
        <v>0</v>
      </c>
      <c r="S32" s="19">
        <f t="shared" ref="S32" si="141">IF(AND(R32-S31&lt;0,S25&gt;0),R32-S31,0)</f>
        <v>0</v>
      </c>
      <c r="T32" s="19">
        <f t="shared" ref="T32" si="142">IF(AND(S32-T31&lt;0,T25&gt;0),S32-T31,0)</f>
        <v>0</v>
      </c>
      <c r="U32" s="19">
        <f t="shared" ref="U32" si="143">IF(AND(T32-U31&lt;0,U25&gt;0),T32-U31,0)</f>
        <v>0</v>
      </c>
      <c r="V32" s="19">
        <f t="shared" ref="V32" si="144">IF(AND(U32-V31&lt;0,V25&gt;0),U32-V31,0)</f>
        <v>0</v>
      </c>
      <c r="W32" s="19">
        <f t="shared" ref="W32" si="145">IF(AND(V32-W31&lt;0,W25&gt;0),V32-W31,0)</f>
        <v>0</v>
      </c>
      <c r="X32" s="19">
        <f t="shared" ref="X32" si="146">IF(AND(W32-X31&lt;0,X25&gt;0),W32-X31,0)</f>
        <v>0</v>
      </c>
      <c r="Y32" s="19">
        <f t="shared" ref="Y32" si="147">IF(AND(X32-Y31&lt;0,Y25&gt;0),X32-Y31,0)</f>
        <v>0</v>
      </c>
      <c r="Z32" s="19">
        <f t="shared" ref="Z32" si="148">IF(AND(Y32-Z31&lt;0,Z25&gt;0),Y32-Z31,0)</f>
        <v>0</v>
      </c>
      <c r="AA32" s="19">
        <f t="shared" ref="AA32" si="149">IF(AND(Z32-AA31&lt;0,AA25&gt;0),Z32-AA31,0)</f>
        <v>0</v>
      </c>
      <c r="AB32" s="3"/>
    </row>
    <row r="33" spans="1:28" x14ac:dyDescent="0.5">
      <c r="A33" s="18" t="s">
        <v>64</v>
      </c>
      <c r="B33" s="17"/>
      <c r="C33" s="16" t="e">
        <f t="shared" ref="C33" si="150">IF(AND(C32&gt;=0,B32&lt;0),B28+C31/B31,"-")</f>
        <v>#DIV/0!</v>
      </c>
      <c r="D33" s="16" t="str">
        <f t="shared" ref="D33" si="151">IF(AND(D32&gt;=0,C32&lt;0),C28+D31/C31,"-")</f>
        <v>-</v>
      </c>
      <c r="E33" s="16" t="str">
        <f t="shared" ref="E33" si="152">IF(AND(E32&gt;=0,D32&lt;0),D28+E31/D31,"-")</f>
        <v>-</v>
      </c>
      <c r="F33" s="16" t="str">
        <f t="shared" ref="F33" si="153">IF(AND(F32&gt;=0,E32&lt;0),E28+F31/E31,"-")</f>
        <v>-</v>
      </c>
      <c r="G33" s="16" t="str">
        <f t="shared" ref="G33" si="154">IF(AND(G32&gt;=0,F32&lt;0),F28+G31/F31,"-")</f>
        <v>-</v>
      </c>
      <c r="H33" s="16" t="str">
        <f t="shared" ref="H33" si="155">IF(AND(H32&gt;=0,G32&lt;0),G28+H31/G31,"-")</f>
        <v>-</v>
      </c>
      <c r="I33" s="16" t="str">
        <f t="shared" ref="I33" si="156">IF(AND(I32&gt;=0,H32&lt;0),H28+I31/H31,"-")</f>
        <v>-</v>
      </c>
      <c r="J33" s="16" t="str">
        <f t="shared" ref="J33" si="157">IF(AND(J32&gt;=0,I32&lt;0),I28+J31/I31,"-")</f>
        <v>-</v>
      </c>
      <c r="K33" s="16" t="str">
        <f t="shared" ref="K33" si="158">IF(AND(K32&gt;=0,J32&lt;0),J28+K31/J31,"-")</f>
        <v>-</v>
      </c>
      <c r="L33" s="16" t="str">
        <f t="shared" ref="L33" si="159">IF(AND(L32&gt;=0,K32&lt;0),K28+L31/K31,"-")</f>
        <v>-</v>
      </c>
      <c r="M33" s="16" t="str">
        <f t="shared" ref="M33" si="160">IF(AND(M32&gt;=0,L32&lt;0),L28+M31/L31,"-")</f>
        <v>-</v>
      </c>
      <c r="N33" s="16" t="str">
        <f t="shared" ref="N33" si="161">IF(AND(N32&gt;=0,M32&lt;0),M28+N31/M31,"-")</f>
        <v>-</v>
      </c>
      <c r="O33" s="16" t="str">
        <f t="shared" ref="O33" si="162">IF(AND(O32&gt;=0,N32&lt;0),N28+O31/N31,"-")</f>
        <v>-</v>
      </c>
      <c r="P33" s="16" t="str">
        <f t="shared" ref="P33" si="163">IF(AND(P32&gt;=0,O32&lt;0),O28+P31/O31,"-")</f>
        <v>-</v>
      </c>
      <c r="Q33" s="16" t="str">
        <f t="shared" ref="Q33" si="164">IF(AND(Q32&gt;=0,P32&lt;0),P28+Q31/P31,"-")</f>
        <v>-</v>
      </c>
      <c r="R33" s="16" t="str">
        <f t="shared" ref="R33" si="165">IF(AND(R32&gt;=0,Q32&lt;0),Q28+R31/Q31,"-")</f>
        <v>-</v>
      </c>
      <c r="S33" s="16" t="str">
        <f t="shared" ref="S33" si="166">IF(AND(S32&gt;=0,R32&lt;0),R28+S31/R31,"-")</f>
        <v>-</v>
      </c>
      <c r="T33" s="16" t="str">
        <f t="shared" ref="T33" si="167">IF(AND(T32&gt;=0,S32&lt;0),S28+T31/S31,"-")</f>
        <v>-</v>
      </c>
      <c r="U33" s="16" t="str">
        <f t="shared" ref="U33" si="168">IF(AND(U32&gt;=0,T32&lt;0),T28+U31/T31,"-")</f>
        <v>-</v>
      </c>
      <c r="V33" s="16" t="str">
        <f t="shared" ref="V33" si="169">IF(AND(V32&gt;=0,U32&lt;0),U28+V31/U31,"-")</f>
        <v>-</v>
      </c>
      <c r="W33" s="16" t="str">
        <f t="shared" ref="W33" si="170">IF(AND(W32&gt;=0,V32&lt;0),V28+W31/V31,"-")</f>
        <v>-</v>
      </c>
      <c r="X33" s="16" t="str">
        <f t="shared" ref="X33" si="171">IF(AND(X32&gt;=0,W32&lt;0),W28+X31/W31,"-")</f>
        <v>-</v>
      </c>
      <c r="Y33" s="16" t="str">
        <f t="shared" ref="Y33" si="172">IF(AND(Y32&gt;=0,X32&lt;0),X28+Y31/X31,"-")</f>
        <v>-</v>
      </c>
      <c r="Z33" s="16" t="str">
        <f t="shared" ref="Z33" si="173">IF(AND(Z32&gt;=0,Y32&lt;0),Y28+Z31/Y31,"-")</f>
        <v>-</v>
      </c>
      <c r="AA33" s="16" t="str">
        <f t="shared" ref="AA33" si="174">IF(AND(AA32&gt;=0,Z32&lt;0),Z28+AA31/Z31,"-")</f>
        <v>-</v>
      </c>
      <c r="AB33" s="3"/>
    </row>
    <row r="34" spans="1:28" x14ac:dyDescent="0.5">
      <c r="A34" s="15" t="s">
        <v>65</v>
      </c>
      <c r="B34" s="14"/>
      <c r="C34" s="12">
        <f t="shared" ref="C34:AA34" si="175">C25+C30+C31</f>
        <v>0</v>
      </c>
      <c r="D34" s="12">
        <f t="shared" si="175"/>
        <v>0</v>
      </c>
      <c r="E34" s="12">
        <f t="shared" si="175"/>
        <v>0</v>
      </c>
      <c r="F34" s="12">
        <f t="shared" si="175"/>
        <v>0</v>
      </c>
      <c r="G34" s="12">
        <f t="shared" si="175"/>
        <v>0</v>
      </c>
      <c r="H34" s="12">
        <f t="shared" si="175"/>
        <v>0</v>
      </c>
      <c r="I34" s="12">
        <f t="shared" si="175"/>
        <v>0</v>
      </c>
      <c r="J34" s="12">
        <f t="shared" si="175"/>
        <v>0</v>
      </c>
      <c r="K34" s="12">
        <f t="shared" si="175"/>
        <v>0</v>
      </c>
      <c r="L34" s="13">
        <f t="shared" si="175"/>
        <v>0</v>
      </c>
      <c r="M34" s="12">
        <f t="shared" si="175"/>
        <v>0</v>
      </c>
      <c r="N34" s="12">
        <f t="shared" si="175"/>
        <v>0</v>
      </c>
      <c r="O34" s="12">
        <f t="shared" si="175"/>
        <v>0</v>
      </c>
      <c r="P34" s="12">
        <f t="shared" si="175"/>
        <v>0</v>
      </c>
      <c r="Q34" s="12">
        <f t="shared" si="175"/>
        <v>0</v>
      </c>
      <c r="R34" s="12">
        <f t="shared" si="175"/>
        <v>0</v>
      </c>
      <c r="S34" s="12">
        <f t="shared" si="175"/>
        <v>0</v>
      </c>
      <c r="T34" s="12">
        <f t="shared" si="175"/>
        <v>0</v>
      </c>
      <c r="U34" s="12">
        <f t="shared" si="175"/>
        <v>0</v>
      </c>
      <c r="V34" s="12">
        <f t="shared" si="175"/>
        <v>0</v>
      </c>
      <c r="W34" s="12">
        <f t="shared" si="175"/>
        <v>0</v>
      </c>
      <c r="X34" s="12">
        <f t="shared" si="175"/>
        <v>0</v>
      </c>
      <c r="Y34" s="12">
        <f t="shared" si="175"/>
        <v>0</v>
      </c>
      <c r="Z34" s="12">
        <f t="shared" si="175"/>
        <v>0</v>
      </c>
      <c r="AA34" s="12">
        <f t="shared" si="175"/>
        <v>0</v>
      </c>
      <c r="AB34" s="3"/>
    </row>
    <row r="35" spans="1:28" x14ac:dyDescent="0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/>
    </row>
    <row r="36" spans="1:28" x14ac:dyDescent="0.5">
      <c r="A36" s="9" t="s">
        <v>66</v>
      </c>
      <c r="B36" s="10" t="str">
        <f>"01. Jan."&amp; B8</f>
        <v>01. Jan.2014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"/>
    </row>
    <row r="37" spans="1:28" x14ac:dyDescent="0.5">
      <c r="A37" s="7" t="s">
        <v>48</v>
      </c>
      <c r="B37" s="6">
        <f>SUM(C37:AA37)</f>
        <v>0</v>
      </c>
      <c r="C37" s="4">
        <f t="shared" ref="C37" si="176">IF(C34&gt;0,C34/(1+$B$10)^(C23-$B$23+1),IF(AND(C32&lt;0,D25=0),C32/(1+$B$10)^(C23-$B$23+1),0))</f>
        <v>0</v>
      </c>
      <c r="D37" s="4">
        <f t="shared" ref="D37" si="177">IF(D34&gt;0,D34/(1+$B$10)^(D23-$B$23+1),IF(AND(D32&lt;0,E25=0),D32/(1+$B$10)^(D23-$B$23+1),0))</f>
        <v>0</v>
      </c>
      <c r="E37" s="4">
        <f t="shared" ref="E37" si="178">IF(E34&gt;0,E34/(1+$B$10)^(E23-$B$23+1),IF(AND(E32&lt;0,F25=0),E32/(1+$B$10)^(E23-$B$23+1),0))</f>
        <v>0</v>
      </c>
      <c r="F37" s="4">
        <f t="shared" ref="F37" si="179">IF(F34&gt;0,F34/(1+$B$10)^(F23-$B$23+1),IF(AND(F32&lt;0,G25=0),F32/(1+$B$10)^(F23-$B$23+1),0))</f>
        <v>0</v>
      </c>
      <c r="G37" s="4">
        <f t="shared" ref="G37" si="180">IF(G34&gt;0,G34/(1+$B$10)^(G23-$B$23+1),IF(AND(G32&lt;0,H25=0),G32/(1+$B$10)^(G23-$B$23+1),0))</f>
        <v>0</v>
      </c>
      <c r="H37" s="4">
        <f t="shared" ref="H37" si="181">IF(H34&gt;0,H34/(1+$B$10)^(H23-$B$23+1),IF(AND(H32&lt;0,I25=0),H32/(1+$B$10)^(H23-$B$23+1),0))</f>
        <v>0</v>
      </c>
      <c r="I37" s="4">
        <f t="shared" ref="I37" si="182">IF(I34&gt;0,I34/(1+$B$10)^(I23-$B$23+1),IF(AND(I32&lt;0,J25=0),I32/(1+$B$10)^(I23-$B$23+1),0))</f>
        <v>0</v>
      </c>
      <c r="J37" s="4">
        <f t="shared" ref="J37" si="183">IF(J34&gt;0,J34/(1+$B$10)^(J23-$B$23+1),IF(AND(J32&lt;0,K25=0),J32/(1+$B$10)^(J23-$B$23+1),0))</f>
        <v>0</v>
      </c>
      <c r="K37" s="5">
        <f t="shared" ref="K37" si="184">IF(K34&gt;0,K34/(1+$B$10)^(K23-$B$23+1),IF(AND(K32&lt;0,L25=0),K32/(1+$B$10)^(K23-$B$23+1),0))</f>
        <v>0</v>
      </c>
      <c r="L37" s="4">
        <f t="shared" ref="L37" si="185">IF(L34&gt;0,L34/(1+$B$10)^(L23-$B$23+1),IF(AND(L32&lt;0,M25=0),L32/(1+$B$10)^(L23-$B$23+1),0))</f>
        <v>0</v>
      </c>
      <c r="M37" s="4">
        <f t="shared" ref="M37" si="186">IF(M34&gt;0,M34/(1+$B$10)^(M23-$B$23+1),IF(AND(M32&lt;0,N25=0),M32/(1+$B$10)^(M23-$B$23+1),0))</f>
        <v>0</v>
      </c>
      <c r="N37" s="4">
        <f t="shared" ref="N37" si="187">IF(N34&gt;0,N34/(1+$B$10)^(N23-$B$23+1),IF(AND(N32&lt;0,O25=0),N32/(1+$B$10)^(N23-$B$23+1),0))</f>
        <v>0</v>
      </c>
      <c r="O37" s="4">
        <f t="shared" ref="O37" si="188">IF(O34&gt;0,O34/(1+$B$10)^(O23-$B$23+1),IF(AND(O32&lt;0,P25=0),O32/(1+$B$10)^(O23-$B$23+1),0))</f>
        <v>0</v>
      </c>
      <c r="P37" s="4">
        <f t="shared" ref="P37" si="189">IF(P34&gt;0,P34/(1+$B$10)^(P23-$B$23+1),IF(AND(P32&lt;0,Q25=0),P32/(1+$B$10)^(P23-$B$23+1),0))</f>
        <v>0</v>
      </c>
      <c r="Q37" s="4">
        <f t="shared" ref="Q37" si="190">IF(Q34&gt;0,Q34/(1+$B$10)^(Q23-$B$23+1),IF(AND(Q32&lt;0,R25=0),Q32/(1+$B$10)^(Q23-$B$23+1),0))</f>
        <v>0</v>
      </c>
      <c r="R37" s="4">
        <f t="shared" ref="R37" si="191">IF(R34&gt;0,R34/(1+$B$10)^(R23-$B$23+1),IF(AND(R32&lt;0,S25=0),R32/(1+$B$10)^(R23-$B$23+1),0))</f>
        <v>0</v>
      </c>
      <c r="S37" s="4">
        <f t="shared" ref="S37" si="192">IF(S34&gt;0,S34/(1+$B$10)^(S23-$B$23+1),IF(AND(S32&lt;0,T25=0),S32/(1+$B$10)^(S23-$B$23+1),0))</f>
        <v>0</v>
      </c>
      <c r="T37" s="4">
        <f t="shared" ref="T37" si="193">IF(T34&gt;0,T34/(1+$B$10)^(T23-$B$23+1),IF(AND(T32&lt;0,U25=0),T32/(1+$B$10)^(T23-$B$23+1),0))</f>
        <v>0</v>
      </c>
      <c r="U37" s="4">
        <f t="shared" ref="U37" si="194">IF(U34&gt;0,U34/(1+$B$10)^(U23-$B$23+1),IF(AND(U32&lt;0,V25=0),U32/(1+$B$10)^(U23-$B$23+1),0))</f>
        <v>0</v>
      </c>
      <c r="V37" s="4">
        <f t="shared" ref="V37" si="195">IF(V34&gt;0,V34/(1+$B$10)^(V23-$B$23+1),IF(AND(V32&lt;0,W25=0),V32/(1+$B$10)^(V23-$B$23+1),0))</f>
        <v>0</v>
      </c>
      <c r="W37" s="4">
        <f t="shared" ref="W37" si="196">IF(W34&gt;0,W34/(1+$B$10)^(W23-$B$23+1),IF(AND(W32&lt;0,X25=0),W32/(1+$B$10)^(W23-$B$23+1),0))</f>
        <v>0</v>
      </c>
      <c r="X37" s="4">
        <f t="shared" ref="X37" si="197">IF(X34&gt;0,X34/(1+$B$10)^(X23-$B$23+1),IF(AND(X32&lt;0,Y25=0),X32/(1+$B$10)^(X23-$B$23+1),0))</f>
        <v>0</v>
      </c>
      <c r="Y37" s="4">
        <f t="shared" ref="Y37" si="198">IF(Y34&gt;0,Y34/(1+$B$10)^(Y23-$B$23+1),IF(AND(Y32&lt;0,Z25=0),Y32/(1+$B$10)^(Y23-$B$23+1),0))</f>
        <v>0</v>
      </c>
      <c r="Z37" s="4">
        <f t="shared" ref="Z37" si="199">IF(Z34&gt;0,Z34/(1+$B$10)^(Z23-$B$23+1),IF(AND(Z32&lt;0,AA25=0),Z32/(1+$B$10)^(Z23-$B$23+1),0))</f>
        <v>0</v>
      </c>
      <c r="AA37" s="4">
        <f t="shared" ref="AA37" si="200">IF(AA34&gt;0,AA34/(1+$B$10)^(AA23-$B$23+1),IF(AND(AA32&lt;0,AB25=0),AA32/(1+$B$10)^(AA23-$B$23+1),0))</f>
        <v>0</v>
      </c>
      <c r="AB37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4" workbookViewId="0">
      <selection activeCell="A42" sqref="A42"/>
    </sheetView>
  </sheetViews>
  <sheetFormatPr baseColWidth="10" defaultRowHeight="14.35" x14ac:dyDescent="0.5"/>
  <cols>
    <col min="1" max="1" width="40.29296875" customWidth="1"/>
    <col min="2" max="2" width="25.41015625" customWidth="1"/>
    <col min="3" max="3" width="16.41015625" customWidth="1"/>
  </cols>
  <sheetData>
    <row r="1" spans="1:28" ht="18" x14ac:dyDescent="0.6">
      <c r="A1" s="50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5">
      <c r="A2" s="52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5">
      <c r="A3" s="52"/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5">
      <c r="A4" s="52"/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5">
      <c r="A5" s="52"/>
      <c r="B5" s="54"/>
      <c r="C5" s="3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5">
      <c r="A6" s="55"/>
      <c r="B6" s="56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x14ac:dyDescent="0.6">
      <c r="A7" s="2" t="s">
        <v>37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5">
      <c r="A8" s="39" t="s">
        <v>38</v>
      </c>
      <c r="B8" s="49">
        <f>Referenz!B8</f>
        <v>2014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5">
      <c r="A9" s="39" t="s">
        <v>39</v>
      </c>
      <c r="B9" s="49">
        <f>Referenz!B9</f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5">
      <c r="A10" s="39" t="s">
        <v>40</v>
      </c>
      <c r="B10" s="38">
        <f>Referenz!B10</f>
        <v>0.08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5">
      <c r="A11" s="39" t="s">
        <v>41</v>
      </c>
      <c r="B11" s="40">
        <f>Übersicht!D48</f>
        <v>20000</v>
      </c>
      <c r="C11" s="33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5">
      <c r="A12" s="39" t="s">
        <v>42</v>
      </c>
      <c r="B12" s="40">
        <f>Übersicht!D46*-1</f>
        <v>3441.1764705882306</v>
      </c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5">
      <c r="A13" s="39" t="s">
        <v>43</v>
      </c>
      <c r="B13" s="48">
        <f>Referenz!B13</f>
        <v>0.05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5">
      <c r="A14" s="2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x14ac:dyDescent="0.6">
      <c r="A15" s="36" t="s">
        <v>44</v>
      </c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5">
      <c r="A16" s="47" t="s">
        <v>45</v>
      </c>
      <c r="B16" s="46">
        <f>B11/(SUM(C25:AA25)/B9)</f>
        <v>4.0400968684982335</v>
      </c>
      <c r="C16" s="45">
        <f>MIN(C29:AA29)</f>
        <v>5.2243506216645041</v>
      </c>
      <c r="D16" s="44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5">
      <c r="A17" s="39" t="s">
        <v>47</v>
      </c>
      <c r="B17" s="43">
        <f>NPER(B10,PMT(B10,B9,-B18-B11),-B11)</f>
        <v>5.5263499291847458</v>
      </c>
      <c r="C17" s="42">
        <f>MAX(C33:AA33)</f>
        <v>6.8998154003326322</v>
      </c>
      <c r="D17" s="41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5">
      <c r="A18" s="39" t="s">
        <v>48</v>
      </c>
      <c r="B18" s="40">
        <f>B37</f>
        <v>19531.677390024448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5">
      <c r="A19" s="39" t="s">
        <v>49</v>
      </c>
      <c r="B19" s="38">
        <f>IRR(B25:AA25,0.1)</f>
        <v>0.1983615451054821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5">
      <c r="A20" s="27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x14ac:dyDescent="0.6">
      <c r="A21" s="36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3" t="s">
        <v>51</v>
      </c>
    </row>
    <row r="22" spans="1:28" x14ac:dyDescent="0.5">
      <c r="A22" s="9" t="s">
        <v>52</v>
      </c>
      <c r="B22" s="32" t="s">
        <v>53</v>
      </c>
      <c r="C22" s="30" t="s">
        <v>54</v>
      </c>
      <c r="D22" s="30" t="s">
        <v>54</v>
      </c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s="30" t="s">
        <v>54</v>
      </c>
      <c r="L22" s="31" t="s">
        <v>54</v>
      </c>
      <c r="M22" s="30" t="s">
        <v>54</v>
      </c>
      <c r="N22" s="30" t="s">
        <v>54</v>
      </c>
      <c r="O22" s="30" t="s">
        <v>54</v>
      </c>
      <c r="P22" s="30" t="s">
        <v>54</v>
      </c>
      <c r="Q22" s="30" t="s">
        <v>54</v>
      </c>
      <c r="R22" s="30" t="s">
        <v>54</v>
      </c>
      <c r="S22" s="30" t="s">
        <v>54</v>
      </c>
      <c r="T22" s="30" t="s">
        <v>54</v>
      </c>
      <c r="U22" s="30" t="s">
        <v>54</v>
      </c>
      <c r="V22" s="30" t="s">
        <v>54</v>
      </c>
      <c r="W22" s="30" t="s">
        <v>54</v>
      </c>
      <c r="X22" s="30" t="s">
        <v>54</v>
      </c>
      <c r="Y22" s="30" t="s">
        <v>54</v>
      </c>
      <c r="Z22" s="30" t="s">
        <v>54</v>
      </c>
      <c r="AA22" s="30" t="s">
        <v>54</v>
      </c>
      <c r="AB22" s="29">
        <f>AA23-C23</f>
        <v>24</v>
      </c>
    </row>
    <row r="23" spans="1:28" x14ac:dyDescent="0.5">
      <c r="A23" s="27"/>
      <c r="B23" s="28">
        <f>B8</f>
        <v>2014</v>
      </c>
      <c r="C23" s="26">
        <f>B23</f>
        <v>2014</v>
      </c>
      <c r="D23" s="26">
        <f t="shared" ref="D23:AA23" si="0">C23+1</f>
        <v>2015</v>
      </c>
      <c r="E23" s="26">
        <f t="shared" si="0"/>
        <v>2016</v>
      </c>
      <c r="F23" s="26">
        <f t="shared" si="0"/>
        <v>2017</v>
      </c>
      <c r="G23" s="26">
        <f t="shared" si="0"/>
        <v>2018</v>
      </c>
      <c r="H23" s="26">
        <f t="shared" si="0"/>
        <v>2019</v>
      </c>
      <c r="I23" s="26">
        <f t="shared" si="0"/>
        <v>2020</v>
      </c>
      <c r="J23" s="26">
        <f t="shared" si="0"/>
        <v>2021</v>
      </c>
      <c r="K23" s="26">
        <f t="shared" si="0"/>
        <v>2022</v>
      </c>
      <c r="L23" s="27">
        <f t="shared" si="0"/>
        <v>2023</v>
      </c>
      <c r="M23" s="26">
        <f t="shared" si="0"/>
        <v>2024</v>
      </c>
      <c r="N23" s="26">
        <f t="shared" si="0"/>
        <v>2025</v>
      </c>
      <c r="O23" s="26">
        <f t="shared" si="0"/>
        <v>2026</v>
      </c>
      <c r="P23" s="26">
        <f t="shared" si="0"/>
        <v>2027</v>
      </c>
      <c r="Q23" s="26">
        <f t="shared" si="0"/>
        <v>2028</v>
      </c>
      <c r="R23" s="26">
        <f t="shared" si="0"/>
        <v>2029</v>
      </c>
      <c r="S23" s="26">
        <f t="shared" si="0"/>
        <v>2030</v>
      </c>
      <c r="T23" s="26">
        <f t="shared" si="0"/>
        <v>2031</v>
      </c>
      <c r="U23" s="26">
        <f t="shared" si="0"/>
        <v>2032</v>
      </c>
      <c r="V23" s="26">
        <f t="shared" si="0"/>
        <v>2033</v>
      </c>
      <c r="W23" s="26">
        <f t="shared" si="0"/>
        <v>2034</v>
      </c>
      <c r="X23" s="26">
        <f t="shared" si="0"/>
        <v>2035</v>
      </c>
      <c r="Y23" s="26">
        <f t="shared" si="0"/>
        <v>2036</v>
      </c>
      <c r="Z23" s="26">
        <f t="shared" si="0"/>
        <v>2037</v>
      </c>
      <c r="AA23" s="26">
        <f t="shared" si="0"/>
        <v>2038</v>
      </c>
      <c r="AB23" s="3"/>
    </row>
    <row r="24" spans="1:28" x14ac:dyDescent="0.5">
      <c r="A24" s="21" t="s">
        <v>55</v>
      </c>
      <c r="B24" s="17">
        <f>B11</f>
        <v>20000</v>
      </c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"/>
    </row>
    <row r="25" spans="1:28" x14ac:dyDescent="0.5">
      <c r="A25" s="21" t="s">
        <v>56</v>
      </c>
      <c r="B25" s="23">
        <f>B32</f>
        <v>-20000</v>
      </c>
      <c r="C25" s="19">
        <f t="shared" ref="C25:AA25" si="1">IF(C23&lt;=$B$23+$B$9-1,$B$12*(1+$B$13)^(C23-$B$23),0)</f>
        <v>3441.1764705882306</v>
      </c>
      <c r="D25" s="19">
        <f t="shared" si="1"/>
        <v>3613.2352941176423</v>
      </c>
      <c r="E25" s="19">
        <f t="shared" si="1"/>
        <v>3793.8970588235243</v>
      </c>
      <c r="F25" s="19">
        <f t="shared" si="1"/>
        <v>3983.5919117647009</v>
      </c>
      <c r="G25" s="19">
        <f t="shared" si="1"/>
        <v>4182.7715073529353</v>
      </c>
      <c r="H25" s="19">
        <f t="shared" si="1"/>
        <v>4391.910082720583</v>
      </c>
      <c r="I25" s="19">
        <f t="shared" si="1"/>
        <v>4611.5055868566114</v>
      </c>
      <c r="J25" s="19">
        <f t="shared" si="1"/>
        <v>4842.0808661994424</v>
      </c>
      <c r="K25" s="19">
        <f t="shared" si="1"/>
        <v>5084.184909509414</v>
      </c>
      <c r="L25" s="20">
        <f t="shared" si="1"/>
        <v>5338.3941549848851</v>
      </c>
      <c r="M25" s="19">
        <f t="shared" si="1"/>
        <v>5605.3138627341295</v>
      </c>
      <c r="N25" s="19">
        <f t="shared" si="1"/>
        <v>5885.579555870836</v>
      </c>
      <c r="O25" s="19">
        <f t="shared" si="1"/>
        <v>6179.8585336643773</v>
      </c>
      <c r="P25" s="19">
        <f t="shared" si="1"/>
        <v>6488.8514603475969</v>
      </c>
      <c r="Q25" s="19">
        <f t="shared" si="1"/>
        <v>6813.2940333649758</v>
      </c>
      <c r="R25" s="19">
        <f t="shared" si="1"/>
        <v>0</v>
      </c>
      <c r="S25" s="19">
        <f t="shared" si="1"/>
        <v>0</v>
      </c>
      <c r="T25" s="19">
        <f t="shared" si="1"/>
        <v>0</v>
      </c>
      <c r="U25" s="19">
        <f t="shared" si="1"/>
        <v>0</v>
      </c>
      <c r="V25" s="19">
        <f t="shared" si="1"/>
        <v>0</v>
      </c>
      <c r="W25" s="19">
        <f t="shared" si="1"/>
        <v>0</v>
      </c>
      <c r="X25" s="19">
        <f t="shared" si="1"/>
        <v>0</v>
      </c>
      <c r="Y25" s="19">
        <f t="shared" si="1"/>
        <v>0</v>
      </c>
      <c r="Z25" s="19">
        <f t="shared" si="1"/>
        <v>0</v>
      </c>
      <c r="AA25" s="19">
        <f t="shared" si="1"/>
        <v>0</v>
      </c>
      <c r="AB25" s="3"/>
    </row>
    <row r="26" spans="1:28" x14ac:dyDescent="0.5">
      <c r="A26" s="18" t="s">
        <v>57</v>
      </c>
      <c r="B26" s="23"/>
      <c r="C26" s="19">
        <f t="shared" ref="C26:AA26" si="2">C25/12</f>
        <v>286.76470588235253</v>
      </c>
      <c r="D26" s="19">
        <f t="shared" si="2"/>
        <v>301.10294117647021</v>
      </c>
      <c r="E26" s="19">
        <f t="shared" si="2"/>
        <v>316.15808823529369</v>
      </c>
      <c r="F26" s="19">
        <f t="shared" si="2"/>
        <v>331.96599264705839</v>
      </c>
      <c r="G26" s="19">
        <f t="shared" si="2"/>
        <v>348.56429227941129</v>
      </c>
      <c r="H26" s="19">
        <f t="shared" si="2"/>
        <v>365.99250689338191</v>
      </c>
      <c r="I26" s="19">
        <f t="shared" si="2"/>
        <v>384.29213223805095</v>
      </c>
      <c r="J26" s="19">
        <f t="shared" si="2"/>
        <v>403.50673884995354</v>
      </c>
      <c r="K26" s="19">
        <f t="shared" si="2"/>
        <v>423.68207579245114</v>
      </c>
      <c r="L26" s="19">
        <f t="shared" si="2"/>
        <v>444.86617958207376</v>
      </c>
      <c r="M26" s="19">
        <f t="shared" si="2"/>
        <v>467.10948856117744</v>
      </c>
      <c r="N26" s="19">
        <f t="shared" si="2"/>
        <v>490.46496298923631</v>
      </c>
      <c r="O26" s="19">
        <f t="shared" si="2"/>
        <v>514.98821113869815</v>
      </c>
      <c r="P26" s="19">
        <f t="shared" si="2"/>
        <v>540.73762169563304</v>
      </c>
      <c r="Q26" s="19">
        <f t="shared" si="2"/>
        <v>567.77450278041465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9">
        <f t="shared" si="2"/>
        <v>0</v>
      </c>
      <c r="X26" s="19">
        <f t="shared" si="2"/>
        <v>0</v>
      </c>
      <c r="Y26" s="19">
        <f t="shared" si="2"/>
        <v>0</v>
      </c>
      <c r="Z26" s="19">
        <f t="shared" si="2"/>
        <v>0</v>
      </c>
      <c r="AA26" s="19">
        <f t="shared" si="2"/>
        <v>0</v>
      </c>
      <c r="AB26" s="3"/>
    </row>
    <row r="27" spans="1:28" x14ac:dyDescent="0.5">
      <c r="A27" s="18" t="s">
        <v>58</v>
      </c>
      <c r="B27" s="23"/>
      <c r="C27" s="19">
        <f>C25</f>
        <v>3441.1764705882306</v>
      </c>
      <c r="D27" s="19">
        <f t="shared" ref="D27:AA27" si="3">D25+C27</f>
        <v>7054.4117647058729</v>
      </c>
      <c r="E27" s="19">
        <f t="shared" si="3"/>
        <v>10848.308823529398</v>
      </c>
      <c r="F27" s="19">
        <f t="shared" si="3"/>
        <v>14831.900735294099</v>
      </c>
      <c r="G27" s="19">
        <f t="shared" si="3"/>
        <v>19014.672242647033</v>
      </c>
      <c r="H27" s="19">
        <f t="shared" si="3"/>
        <v>23406.582325367617</v>
      </c>
      <c r="I27" s="19">
        <f t="shared" si="3"/>
        <v>28018.08791222423</v>
      </c>
      <c r="J27" s="19">
        <f t="shared" si="3"/>
        <v>32860.168778423671</v>
      </c>
      <c r="K27" s="19">
        <f t="shared" si="3"/>
        <v>37944.353687933086</v>
      </c>
      <c r="L27" s="19">
        <f t="shared" si="3"/>
        <v>43282.747842917968</v>
      </c>
      <c r="M27" s="19">
        <f t="shared" si="3"/>
        <v>48888.0617056521</v>
      </c>
      <c r="N27" s="19">
        <f t="shared" si="3"/>
        <v>54773.641261522935</v>
      </c>
      <c r="O27" s="19">
        <f t="shared" si="3"/>
        <v>60953.499795187308</v>
      </c>
      <c r="P27" s="19">
        <f t="shared" si="3"/>
        <v>67442.351255534901</v>
      </c>
      <c r="Q27" s="19">
        <f t="shared" si="3"/>
        <v>74255.645288899876</v>
      </c>
      <c r="R27" s="19">
        <f t="shared" si="3"/>
        <v>74255.645288899876</v>
      </c>
      <c r="S27" s="19">
        <f t="shared" si="3"/>
        <v>74255.645288899876</v>
      </c>
      <c r="T27" s="19">
        <f t="shared" si="3"/>
        <v>74255.645288899876</v>
      </c>
      <c r="U27" s="19">
        <f t="shared" si="3"/>
        <v>74255.645288899876</v>
      </c>
      <c r="V27" s="19">
        <f t="shared" si="3"/>
        <v>74255.645288899876</v>
      </c>
      <c r="W27" s="19">
        <f t="shared" si="3"/>
        <v>74255.645288899876</v>
      </c>
      <c r="X27" s="19">
        <f t="shared" si="3"/>
        <v>74255.645288899876</v>
      </c>
      <c r="Y27" s="19">
        <f t="shared" si="3"/>
        <v>74255.645288899876</v>
      </c>
      <c r="Z27" s="19">
        <f t="shared" si="3"/>
        <v>74255.645288899876</v>
      </c>
      <c r="AA27" s="19">
        <f t="shared" si="3"/>
        <v>74255.645288899876</v>
      </c>
      <c r="AB27" s="3"/>
    </row>
    <row r="28" spans="1:28" x14ac:dyDescent="0.5">
      <c r="A28" s="18" t="s">
        <v>59</v>
      </c>
      <c r="B28" s="23"/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24">
        <v>10</v>
      </c>
      <c r="M28" s="24">
        <v>11</v>
      </c>
      <c r="N28" s="24">
        <v>12</v>
      </c>
      <c r="O28" s="24">
        <v>13</v>
      </c>
      <c r="P28" s="24">
        <v>14</v>
      </c>
      <c r="Q28" s="24">
        <v>15</v>
      </c>
      <c r="R28" s="24">
        <v>16</v>
      </c>
      <c r="S28" s="24">
        <v>17</v>
      </c>
      <c r="T28" s="24">
        <v>18</v>
      </c>
      <c r="U28" s="24">
        <v>19</v>
      </c>
      <c r="V28" s="24">
        <v>20</v>
      </c>
      <c r="W28" s="24">
        <v>21</v>
      </c>
      <c r="X28" s="24">
        <v>22</v>
      </c>
      <c r="Y28" s="24">
        <v>23</v>
      </c>
      <c r="Z28" s="24">
        <v>24</v>
      </c>
      <c r="AA28" s="24">
        <v>25</v>
      </c>
      <c r="AB28" s="3"/>
    </row>
    <row r="29" spans="1:28" x14ac:dyDescent="0.5">
      <c r="A29" s="18" t="s">
        <v>60</v>
      </c>
      <c r="B29" s="23"/>
      <c r="C29" s="16" t="str">
        <f t="shared" ref="C29:AA29" si="4">IF(AND(C27&gt;=$B$11,B27&lt;=$B$11),B28+($B$11-B27)/C25,"-")</f>
        <v>-</v>
      </c>
      <c r="D29" s="16" t="str">
        <f t="shared" si="4"/>
        <v>-</v>
      </c>
      <c r="E29" s="16" t="str">
        <f t="shared" si="4"/>
        <v>-</v>
      </c>
      <c r="F29" s="16" t="str">
        <f t="shared" si="4"/>
        <v>-</v>
      </c>
      <c r="G29" s="16" t="str">
        <f t="shared" si="4"/>
        <v>-</v>
      </c>
      <c r="H29" s="16">
        <f t="shared" si="4"/>
        <v>5.2243506216645041</v>
      </c>
      <c r="I29" s="16" t="str">
        <f t="shared" si="4"/>
        <v>-</v>
      </c>
      <c r="J29" s="16" t="str">
        <f t="shared" si="4"/>
        <v>-</v>
      </c>
      <c r="K29" s="16" t="str">
        <f t="shared" si="4"/>
        <v>-</v>
      </c>
      <c r="L29" s="16" t="str">
        <f t="shared" si="4"/>
        <v>-</v>
      </c>
      <c r="M29" s="16" t="str">
        <f t="shared" si="4"/>
        <v>-</v>
      </c>
      <c r="N29" s="16" t="str">
        <f t="shared" si="4"/>
        <v>-</v>
      </c>
      <c r="O29" s="16" t="str">
        <f t="shared" si="4"/>
        <v>-</v>
      </c>
      <c r="P29" s="16" t="str">
        <f t="shared" si="4"/>
        <v>-</v>
      </c>
      <c r="Q29" s="16" t="str">
        <f t="shared" si="4"/>
        <v>-</v>
      </c>
      <c r="R29" s="16" t="str">
        <f t="shared" si="4"/>
        <v>-</v>
      </c>
      <c r="S29" s="16" t="str">
        <f t="shared" si="4"/>
        <v>-</v>
      </c>
      <c r="T29" s="16" t="str">
        <f t="shared" si="4"/>
        <v>-</v>
      </c>
      <c r="U29" s="16" t="str">
        <f t="shared" si="4"/>
        <v>-</v>
      </c>
      <c r="V29" s="16" t="str">
        <f t="shared" si="4"/>
        <v>-</v>
      </c>
      <c r="W29" s="16" t="str">
        <f t="shared" si="4"/>
        <v>-</v>
      </c>
      <c r="X29" s="16" t="str">
        <f t="shared" si="4"/>
        <v>-</v>
      </c>
      <c r="Y29" s="16" t="str">
        <f t="shared" si="4"/>
        <v>-</v>
      </c>
      <c r="Z29" s="16" t="str">
        <f t="shared" si="4"/>
        <v>-</v>
      </c>
      <c r="AA29" s="16" t="str">
        <f t="shared" si="4"/>
        <v>-</v>
      </c>
      <c r="AB29" s="3"/>
    </row>
    <row r="30" spans="1:28" x14ac:dyDescent="0.5">
      <c r="A30" s="21" t="s">
        <v>61</v>
      </c>
      <c r="B30" s="22"/>
      <c r="C30" s="19">
        <f t="shared" ref="C30:AA30" si="5">IF(AND(B32&lt;0,C25&gt;0),B32*$B$10,0)</f>
        <v>-1600</v>
      </c>
      <c r="D30" s="19">
        <f t="shared" si="5"/>
        <v>-1452.7058823529417</v>
      </c>
      <c r="E30" s="19">
        <f t="shared" si="5"/>
        <v>-1279.8635294117655</v>
      </c>
      <c r="F30" s="19">
        <f t="shared" si="5"/>
        <v>-1078.7408470588248</v>
      </c>
      <c r="G30" s="19">
        <f t="shared" si="5"/>
        <v>-846.35276188235468</v>
      </c>
      <c r="H30" s="19">
        <f t="shared" si="5"/>
        <v>-579.43926224470829</v>
      </c>
      <c r="I30" s="19">
        <f t="shared" si="5"/>
        <v>-274.44159660663826</v>
      </c>
      <c r="J30" s="19">
        <f t="shared" si="5"/>
        <v>0</v>
      </c>
      <c r="K30" s="19">
        <f t="shared" si="5"/>
        <v>0</v>
      </c>
      <c r="L30" s="20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5"/>
        <v>0</v>
      </c>
      <c r="W30" s="19">
        <f t="shared" si="5"/>
        <v>0</v>
      </c>
      <c r="X30" s="19">
        <f t="shared" si="5"/>
        <v>0</v>
      </c>
      <c r="Y30" s="19">
        <f t="shared" si="5"/>
        <v>0</v>
      </c>
      <c r="Z30" s="19">
        <f t="shared" si="5"/>
        <v>0</v>
      </c>
      <c r="AA30" s="19">
        <f t="shared" si="5"/>
        <v>0</v>
      </c>
      <c r="AB30" s="3"/>
    </row>
    <row r="31" spans="1:28" x14ac:dyDescent="0.5">
      <c r="A31" s="21" t="s">
        <v>62</v>
      </c>
      <c r="B31" s="22"/>
      <c r="C31" s="19">
        <f t="shared" ref="C31:AA31" si="6">IF(B32&lt;0,IF(B32&lt;-C25-C30,-C25-C30,B32),0)</f>
        <v>-1841.1764705882306</v>
      </c>
      <c r="D31" s="19">
        <f t="shared" si="6"/>
        <v>-2160.5294117647009</v>
      </c>
      <c r="E31" s="19">
        <f t="shared" si="6"/>
        <v>-2514.0335294117585</v>
      </c>
      <c r="F31" s="19">
        <f t="shared" si="6"/>
        <v>-2904.8510647058761</v>
      </c>
      <c r="G31" s="19">
        <f t="shared" si="6"/>
        <v>-3336.4187454705807</v>
      </c>
      <c r="H31" s="19">
        <f t="shared" si="6"/>
        <v>-3812.4708204758745</v>
      </c>
      <c r="I31" s="19">
        <f t="shared" si="6"/>
        <v>-3430.5199575829783</v>
      </c>
      <c r="J31" s="19">
        <f t="shared" si="6"/>
        <v>0</v>
      </c>
      <c r="K31" s="19">
        <f t="shared" si="6"/>
        <v>0</v>
      </c>
      <c r="L31" s="20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</v>
      </c>
      <c r="Y31" s="19">
        <f t="shared" si="6"/>
        <v>0</v>
      </c>
      <c r="Z31" s="19">
        <f t="shared" si="6"/>
        <v>0</v>
      </c>
      <c r="AA31" s="19">
        <f t="shared" si="6"/>
        <v>0</v>
      </c>
      <c r="AB31" s="3"/>
    </row>
    <row r="32" spans="1:28" x14ac:dyDescent="0.5">
      <c r="A32" s="21" t="s">
        <v>63</v>
      </c>
      <c r="B32" s="17">
        <f>-B24</f>
        <v>-20000</v>
      </c>
      <c r="C32" s="19">
        <f t="shared" ref="C32:AA32" si="7">IF(AND(B32-C31&lt;0,C25&gt;0),B32-C31,0)</f>
        <v>-18158.823529411769</v>
      </c>
      <c r="D32" s="19">
        <f t="shared" si="7"/>
        <v>-15998.294117647069</v>
      </c>
      <c r="E32" s="19">
        <f t="shared" si="7"/>
        <v>-13484.260588235309</v>
      </c>
      <c r="F32" s="19">
        <f t="shared" si="7"/>
        <v>-10579.409523529433</v>
      </c>
      <c r="G32" s="19">
        <f t="shared" si="7"/>
        <v>-7242.9907780588528</v>
      </c>
      <c r="H32" s="19">
        <f t="shared" si="7"/>
        <v>-3430.5199575829783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20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0</v>
      </c>
      <c r="U32" s="19">
        <f t="shared" si="7"/>
        <v>0</v>
      </c>
      <c r="V32" s="19">
        <f t="shared" si="7"/>
        <v>0</v>
      </c>
      <c r="W32" s="19">
        <f t="shared" si="7"/>
        <v>0</v>
      </c>
      <c r="X32" s="19">
        <f t="shared" si="7"/>
        <v>0</v>
      </c>
      <c r="Y32" s="19">
        <f t="shared" si="7"/>
        <v>0</v>
      </c>
      <c r="Z32" s="19">
        <f t="shared" si="7"/>
        <v>0</v>
      </c>
      <c r="AA32" s="19">
        <f t="shared" si="7"/>
        <v>0</v>
      </c>
      <c r="AB32" s="3"/>
    </row>
    <row r="33" spans="1:28" x14ac:dyDescent="0.5">
      <c r="A33" s="18" t="s">
        <v>64</v>
      </c>
      <c r="B33" s="17"/>
      <c r="C33" s="16" t="str">
        <f t="shared" ref="C33:AA33" si="8">IF(AND(C32&gt;=0,B32&lt;0),B28+C31/B31,"-")</f>
        <v>-</v>
      </c>
      <c r="D33" s="16" t="str">
        <f t="shared" si="8"/>
        <v>-</v>
      </c>
      <c r="E33" s="16" t="str">
        <f t="shared" si="8"/>
        <v>-</v>
      </c>
      <c r="F33" s="16" t="str">
        <f t="shared" si="8"/>
        <v>-</v>
      </c>
      <c r="G33" s="16" t="str">
        <f t="shared" si="8"/>
        <v>-</v>
      </c>
      <c r="H33" s="16" t="str">
        <f t="shared" si="8"/>
        <v>-</v>
      </c>
      <c r="I33" s="16">
        <f t="shared" si="8"/>
        <v>6.8998154003326322</v>
      </c>
      <c r="J33" s="16" t="str">
        <f t="shared" si="8"/>
        <v>-</v>
      </c>
      <c r="K33" s="16" t="str">
        <f t="shared" si="8"/>
        <v>-</v>
      </c>
      <c r="L33" s="16" t="str">
        <f t="shared" si="8"/>
        <v>-</v>
      </c>
      <c r="M33" s="16" t="str">
        <f t="shared" si="8"/>
        <v>-</v>
      </c>
      <c r="N33" s="16" t="str">
        <f t="shared" si="8"/>
        <v>-</v>
      </c>
      <c r="O33" s="16" t="str">
        <f t="shared" si="8"/>
        <v>-</v>
      </c>
      <c r="P33" s="16" t="str">
        <f t="shared" si="8"/>
        <v>-</v>
      </c>
      <c r="Q33" s="16" t="str">
        <f t="shared" si="8"/>
        <v>-</v>
      </c>
      <c r="R33" s="16" t="str">
        <f t="shared" si="8"/>
        <v>-</v>
      </c>
      <c r="S33" s="16" t="str">
        <f t="shared" si="8"/>
        <v>-</v>
      </c>
      <c r="T33" s="16" t="str">
        <f t="shared" si="8"/>
        <v>-</v>
      </c>
      <c r="U33" s="16" t="str">
        <f t="shared" si="8"/>
        <v>-</v>
      </c>
      <c r="V33" s="16" t="str">
        <f t="shared" si="8"/>
        <v>-</v>
      </c>
      <c r="W33" s="16" t="str">
        <f t="shared" si="8"/>
        <v>-</v>
      </c>
      <c r="X33" s="16" t="str">
        <f t="shared" si="8"/>
        <v>-</v>
      </c>
      <c r="Y33" s="16" t="str">
        <f t="shared" si="8"/>
        <v>-</v>
      </c>
      <c r="Z33" s="16" t="str">
        <f t="shared" si="8"/>
        <v>-</v>
      </c>
      <c r="AA33" s="16" t="str">
        <f t="shared" si="8"/>
        <v>-</v>
      </c>
      <c r="AB33" s="3"/>
    </row>
    <row r="34" spans="1:28" x14ac:dyDescent="0.5">
      <c r="A34" s="15" t="s">
        <v>65</v>
      </c>
      <c r="B34" s="14"/>
      <c r="C34" s="12">
        <f t="shared" ref="C34:AA34" si="9">C25+C30+C31</f>
        <v>0</v>
      </c>
      <c r="D34" s="12">
        <f t="shared" si="9"/>
        <v>0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0</v>
      </c>
      <c r="I34" s="12">
        <f t="shared" si="9"/>
        <v>906.54403266699501</v>
      </c>
      <c r="J34" s="12">
        <f t="shared" si="9"/>
        <v>4842.0808661994424</v>
      </c>
      <c r="K34" s="12">
        <f t="shared" si="9"/>
        <v>5084.184909509414</v>
      </c>
      <c r="L34" s="13">
        <f t="shared" si="9"/>
        <v>5338.3941549848851</v>
      </c>
      <c r="M34" s="12">
        <f t="shared" si="9"/>
        <v>5605.3138627341295</v>
      </c>
      <c r="N34" s="12">
        <f t="shared" si="9"/>
        <v>5885.579555870836</v>
      </c>
      <c r="O34" s="12">
        <f t="shared" si="9"/>
        <v>6179.8585336643773</v>
      </c>
      <c r="P34" s="12">
        <f t="shared" si="9"/>
        <v>6488.8514603475969</v>
      </c>
      <c r="Q34" s="12">
        <f t="shared" si="9"/>
        <v>6813.2940333649758</v>
      </c>
      <c r="R34" s="12">
        <f t="shared" si="9"/>
        <v>0</v>
      </c>
      <c r="S34" s="12">
        <f t="shared" si="9"/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2">
        <f t="shared" si="9"/>
        <v>0</v>
      </c>
      <c r="X34" s="12">
        <f t="shared" si="9"/>
        <v>0</v>
      </c>
      <c r="Y34" s="12">
        <f t="shared" si="9"/>
        <v>0</v>
      </c>
      <c r="Z34" s="12">
        <f t="shared" si="9"/>
        <v>0</v>
      </c>
      <c r="AA34" s="12">
        <f t="shared" si="9"/>
        <v>0</v>
      </c>
      <c r="AB34" s="3"/>
    </row>
    <row r="35" spans="1:28" x14ac:dyDescent="0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/>
    </row>
    <row r="36" spans="1:28" x14ac:dyDescent="0.5">
      <c r="A36" s="9" t="s">
        <v>66</v>
      </c>
      <c r="B36" s="10" t="str">
        <f>"01. Jan."&amp; B8</f>
        <v>01. Jan.2014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"/>
    </row>
    <row r="37" spans="1:28" x14ac:dyDescent="0.5">
      <c r="A37" s="7" t="s">
        <v>48</v>
      </c>
      <c r="B37" s="6">
        <f>SUM(C37:AA37)</f>
        <v>19531.677390024448</v>
      </c>
      <c r="C37" s="4">
        <f t="shared" ref="C37:AA37" si="10">IF(C34&gt;0,C34/(1+$B$10)^(C23-$B$23+1),IF(AND(C32&lt;0,D25=0),C32/(1+$B$10)^(C23-$B$23+1),0))</f>
        <v>0</v>
      </c>
      <c r="D37" s="4">
        <f t="shared" si="10"/>
        <v>0</v>
      </c>
      <c r="E37" s="4">
        <f t="shared" si="10"/>
        <v>0</v>
      </c>
      <c r="F37" s="4">
        <f t="shared" si="10"/>
        <v>0</v>
      </c>
      <c r="G37" s="4">
        <f t="shared" si="10"/>
        <v>0</v>
      </c>
      <c r="H37" s="4">
        <f t="shared" si="10"/>
        <v>0</v>
      </c>
      <c r="I37" s="4">
        <f t="shared" si="10"/>
        <v>528.95973594339364</v>
      </c>
      <c r="J37" s="4">
        <f t="shared" si="10"/>
        <v>2616.0256282499336</v>
      </c>
      <c r="K37" s="5">
        <f t="shared" si="10"/>
        <v>2543.3582496874346</v>
      </c>
      <c r="L37" s="4">
        <f t="shared" si="10"/>
        <v>2472.7094094183394</v>
      </c>
      <c r="M37" s="4">
        <f t="shared" si="10"/>
        <v>2404.0230369344968</v>
      </c>
      <c r="N37" s="4">
        <f t="shared" si="10"/>
        <v>2337.2446192418715</v>
      </c>
      <c r="O37" s="4">
        <f t="shared" si="10"/>
        <v>2272.3211575962641</v>
      </c>
      <c r="P37" s="4">
        <f t="shared" si="10"/>
        <v>2209.2011254408121</v>
      </c>
      <c r="Q37" s="4">
        <f t="shared" si="10"/>
        <v>2147.8344275119002</v>
      </c>
      <c r="R37" s="4">
        <f t="shared" si="10"/>
        <v>0</v>
      </c>
      <c r="S37" s="4">
        <f t="shared" si="10"/>
        <v>0</v>
      </c>
      <c r="T37" s="4">
        <f t="shared" si="10"/>
        <v>0</v>
      </c>
      <c r="U37" s="4">
        <f t="shared" si="10"/>
        <v>0</v>
      </c>
      <c r="V37" s="4">
        <f t="shared" si="10"/>
        <v>0</v>
      </c>
      <c r="W37" s="4">
        <f t="shared" si="10"/>
        <v>0</v>
      </c>
      <c r="X37" s="4">
        <f t="shared" si="10"/>
        <v>0</v>
      </c>
      <c r="Y37" s="4">
        <f t="shared" si="10"/>
        <v>0</v>
      </c>
      <c r="Z37" s="4">
        <f t="shared" si="10"/>
        <v>0</v>
      </c>
      <c r="AA37" s="4">
        <f t="shared" si="10"/>
        <v>0</v>
      </c>
      <c r="AB37" s="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4" workbookViewId="0">
      <selection activeCell="B24" sqref="B24"/>
    </sheetView>
  </sheetViews>
  <sheetFormatPr baseColWidth="10" defaultRowHeight="14.35" x14ac:dyDescent="0.5"/>
  <cols>
    <col min="1" max="1" width="40.29296875" customWidth="1"/>
    <col min="2" max="2" width="25.41015625" customWidth="1"/>
    <col min="3" max="3" width="16.41015625" customWidth="1"/>
  </cols>
  <sheetData>
    <row r="1" spans="1:28" ht="18" x14ac:dyDescent="0.6">
      <c r="A1" s="50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5">
      <c r="A2" s="52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5">
      <c r="A3" s="52"/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5">
      <c r="A4" s="52"/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5">
      <c r="A5" s="52"/>
      <c r="B5" s="54"/>
      <c r="C5" s="3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5">
      <c r="A6" s="55"/>
      <c r="B6" s="56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x14ac:dyDescent="0.6">
      <c r="A7" s="2" t="s">
        <v>37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5">
      <c r="A8" s="39" t="s">
        <v>38</v>
      </c>
      <c r="B8" s="49">
        <f>Referenz!B8</f>
        <v>2014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5">
      <c r="A9" s="39" t="s">
        <v>39</v>
      </c>
      <c r="B9" s="49">
        <f>Referenz!B9</f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5">
      <c r="A10" s="39" t="s">
        <v>40</v>
      </c>
      <c r="B10" s="38">
        <f>Referenz!B10</f>
        <v>0.08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5">
      <c r="A11" s="39" t="s">
        <v>41</v>
      </c>
      <c r="B11" s="40">
        <f>Übersicht!E48</f>
        <v>20000</v>
      </c>
      <c r="C11" s="33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5">
      <c r="A12" s="39" t="s">
        <v>42</v>
      </c>
      <c r="B12" s="40">
        <f>Übersicht!E46*-1</f>
        <v>6500</v>
      </c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5">
      <c r="A13" s="39" t="s">
        <v>43</v>
      </c>
      <c r="B13" s="48">
        <v>0.05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5">
      <c r="A14" s="2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x14ac:dyDescent="0.6">
      <c r="A15" s="36" t="s">
        <v>44</v>
      </c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5">
      <c r="A16" s="47" t="s">
        <v>45</v>
      </c>
      <c r="B16" s="46">
        <f>B11/(SUM(C25:AA25)/B9)</f>
        <v>2.1388748127343553</v>
      </c>
      <c r="C16" s="45">
        <f>MIN(C29:AA29)</f>
        <v>2.931449502878074</v>
      </c>
      <c r="D16" s="44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5">
      <c r="A17" s="39" t="s">
        <v>47</v>
      </c>
      <c r="B17" s="43">
        <f>NPER(B10,PMT(B10,B9,-B18-B11),-B11)</f>
        <v>2.6326870418041408</v>
      </c>
      <c r="C17" s="42">
        <f>MAX(C33:AA33)</f>
        <v>3.4799589862678908</v>
      </c>
      <c r="D17" s="41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5">
      <c r="A18" s="39" t="s">
        <v>48</v>
      </c>
      <c r="B18" s="40">
        <f>B37</f>
        <v>54670.946181157386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5">
      <c r="A19" s="39" t="s">
        <v>49</v>
      </c>
      <c r="B19" s="38">
        <f>IRR(B25:AA25,0.1)</f>
        <v>0.3689177761358895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5">
      <c r="A20" s="27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x14ac:dyDescent="0.6">
      <c r="A21" s="36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3" t="s">
        <v>51</v>
      </c>
    </row>
    <row r="22" spans="1:28" x14ac:dyDescent="0.5">
      <c r="A22" s="9" t="s">
        <v>52</v>
      </c>
      <c r="B22" s="32" t="s">
        <v>53</v>
      </c>
      <c r="C22" s="30" t="s">
        <v>54</v>
      </c>
      <c r="D22" s="30" t="s">
        <v>54</v>
      </c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s="30" t="s">
        <v>54</v>
      </c>
      <c r="L22" s="31" t="s">
        <v>54</v>
      </c>
      <c r="M22" s="30" t="s">
        <v>54</v>
      </c>
      <c r="N22" s="30" t="s">
        <v>54</v>
      </c>
      <c r="O22" s="30" t="s">
        <v>54</v>
      </c>
      <c r="P22" s="30" t="s">
        <v>54</v>
      </c>
      <c r="Q22" s="30" t="s">
        <v>54</v>
      </c>
      <c r="R22" s="30" t="s">
        <v>54</v>
      </c>
      <c r="S22" s="30" t="s">
        <v>54</v>
      </c>
      <c r="T22" s="30" t="s">
        <v>54</v>
      </c>
      <c r="U22" s="30" t="s">
        <v>54</v>
      </c>
      <c r="V22" s="30" t="s">
        <v>54</v>
      </c>
      <c r="W22" s="30" t="s">
        <v>54</v>
      </c>
      <c r="X22" s="30" t="s">
        <v>54</v>
      </c>
      <c r="Y22" s="30" t="s">
        <v>54</v>
      </c>
      <c r="Z22" s="30" t="s">
        <v>54</v>
      </c>
      <c r="AA22" s="30" t="s">
        <v>54</v>
      </c>
      <c r="AB22" s="29">
        <f>AA23-C23</f>
        <v>24</v>
      </c>
    </row>
    <row r="23" spans="1:28" x14ac:dyDescent="0.5">
      <c r="A23" s="27"/>
      <c r="B23" s="28">
        <f>B8</f>
        <v>2014</v>
      </c>
      <c r="C23" s="26">
        <f>B23</f>
        <v>2014</v>
      </c>
      <c r="D23" s="26">
        <f t="shared" ref="D23:AA23" si="0">C23+1</f>
        <v>2015</v>
      </c>
      <c r="E23" s="26">
        <f t="shared" si="0"/>
        <v>2016</v>
      </c>
      <c r="F23" s="26">
        <f t="shared" si="0"/>
        <v>2017</v>
      </c>
      <c r="G23" s="26">
        <f t="shared" si="0"/>
        <v>2018</v>
      </c>
      <c r="H23" s="26">
        <f t="shared" si="0"/>
        <v>2019</v>
      </c>
      <c r="I23" s="26">
        <f t="shared" si="0"/>
        <v>2020</v>
      </c>
      <c r="J23" s="26">
        <f t="shared" si="0"/>
        <v>2021</v>
      </c>
      <c r="K23" s="26">
        <f t="shared" si="0"/>
        <v>2022</v>
      </c>
      <c r="L23" s="27">
        <f t="shared" si="0"/>
        <v>2023</v>
      </c>
      <c r="M23" s="26">
        <f t="shared" si="0"/>
        <v>2024</v>
      </c>
      <c r="N23" s="26">
        <f t="shared" si="0"/>
        <v>2025</v>
      </c>
      <c r="O23" s="26">
        <f t="shared" si="0"/>
        <v>2026</v>
      </c>
      <c r="P23" s="26">
        <f t="shared" si="0"/>
        <v>2027</v>
      </c>
      <c r="Q23" s="26">
        <f t="shared" si="0"/>
        <v>2028</v>
      </c>
      <c r="R23" s="26">
        <f t="shared" si="0"/>
        <v>2029</v>
      </c>
      <c r="S23" s="26">
        <f t="shared" si="0"/>
        <v>2030</v>
      </c>
      <c r="T23" s="26">
        <f t="shared" si="0"/>
        <v>2031</v>
      </c>
      <c r="U23" s="26">
        <f t="shared" si="0"/>
        <v>2032</v>
      </c>
      <c r="V23" s="26">
        <f t="shared" si="0"/>
        <v>2033</v>
      </c>
      <c r="W23" s="26">
        <f t="shared" si="0"/>
        <v>2034</v>
      </c>
      <c r="X23" s="26">
        <f t="shared" si="0"/>
        <v>2035</v>
      </c>
      <c r="Y23" s="26">
        <f t="shared" si="0"/>
        <v>2036</v>
      </c>
      <c r="Z23" s="26">
        <f t="shared" si="0"/>
        <v>2037</v>
      </c>
      <c r="AA23" s="26">
        <f t="shared" si="0"/>
        <v>2038</v>
      </c>
      <c r="AB23" s="3"/>
    </row>
    <row r="24" spans="1:28" x14ac:dyDescent="0.5">
      <c r="A24" s="21" t="s">
        <v>55</v>
      </c>
      <c r="B24" s="17">
        <f>B11</f>
        <v>20000</v>
      </c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"/>
    </row>
    <row r="25" spans="1:28" x14ac:dyDescent="0.5">
      <c r="A25" s="21" t="s">
        <v>56</v>
      </c>
      <c r="B25" s="23">
        <f>B32</f>
        <v>-20000</v>
      </c>
      <c r="C25" s="19">
        <f t="shared" ref="C25:AA25" si="1">IF(C23&lt;=$B$23+$B$9-1,$B$12*(1+$B$13)^(C23-$B$23),0)</f>
        <v>6500</v>
      </c>
      <c r="D25" s="19">
        <f t="shared" si="1"/>
        <v>6825</v>
      </c>
      <c r="E25" s="19">
        <f t="shared" si="1"/>
        <v>7166.25</v>
      </c>
      <c r="F25" s="19">
        <f t="shared" si="1"/>
        <v>7524.5625000000009</v>
      </c>
      <c r="G25" s="19">
        <f t="shared" si="1"/>
        <v>7900.7906249999996</v>
      </c>
      <c r="H25" s="19">
        <f t="shared" si="1"/>
        <v>8295.8301562500001</v>
      </c>
      <c r="I25" s="19">
        <f t="shared" si="1"/>
        <v>8710.6216640625007</v>
      </c>
      <c r="J25" s="19">
        <f t="shared" si="1"/>
        <v>9146.1527472656271</v>
      </c>
      <c r="K25" s="19">
        <f t="shared" si="1"/>
        <v>9603.4603846289065</v>
      </c>
      <c r="L25" s="20">
        <f t="shared" si="1"/>
        <v>10083.633403860353</v>
      </c>
      <c r="M25" s="19">
        <f t="shared" si="1"/>
        <v>10587.815074053371</v>
      </c>
      <c r="N25" s="19">
        <f t="shared" si="1"/>
        <v>11117.205827756039</v>
      </c>
      <c r="O25" s="19">
        <f t="shared" si="1"/>
        <v>11673.066119143839</v>
      </c>
      <c r="P25" s="19">
        <f t="shared" si="1"/>
        <v>12256.719425101033</v>
      </c>
      <c r="Q25" s="19">
        <f t="shared" si="1"/>
        <v>12869.555396356083</v>
      </c>
      <c r="R25" s="19">
        <f t="shared" si="1"/>
        <v>0</v>
      </c>
      <c r="S25" s="19">
        <f t="shared" si="1"/>
        <v>0</v>
      </c>
      <c r="T25" s="19">
        <f t="shared" si="1"/>
        <v>0</v>
      </c>
      <c r="U25" s="19">
        <f t="shared" si="1"/>
        <v>0</v>
      </c>
      <c r="V25" s="19">
        <f t="shared" si="1"/>
        <v>0</v>
      </c>
      <c r="W25" s="19">
        <f t="shared" si="1"/>
        <v>0</v>
      </c>
      <c r="X25" s="19">
        <f t="shared" si="1"/>
        <v>0</v>
      </c>
      <c r="Y25" s="19">
        <f t="shared" si="1"/>
        <v>0</v>
      </c>
      <c r="Z25" s="19">
        <f t="shared" si="1"/>
        <v>0</v>
      </c>
      <c r="AA25" s="19">
        <f t="shared" si="1"/>
        <v>0</v>
      </c>
      <c r="AB25" s="3"/>
    </row>
    <row r="26" spans="1:28" x14ac:dyDescent="0.5">
      <c r="A26" s="18" t="s">
        <v>57</v>
      </c>
      <c r="B26" s="23"/>
      <c r="C26" s="19">
        <f t="shared" ref="C26:AA26" si="2">C25/12</f>
        <v>541.66666666666663</v>
      </c>
      <c r="D26" s="19">
        <f t="shared" si="2"/>
        <v>568.75</v>
      </c>
      <c r="E26" s="19">
        <f t="shared" si="2"/>
        <v>597.1875</v>
      </c>
      <c r="F26" s="19">
        <f t="shared" si="2"/>
        <v>627.04687500000011</v>
      </c>
      <c r="G26" s="19">
        <f t="shared" si="2"/>
        <v>658.39921874999993</v>
      </c>
      <c r="H26" s="19">
        <f t="shared" si="2"/>
        <v>691.31917968749997</v>
      </c>
      <c r="I26" s="19">
        <f t="shared" si="2"/>
        <v>725.8851386718751</v>
      </c>
      <c r="J26" s="19">
        <f t="shared" si="2"/>
        <v>762.17939560546893</v>
      </c>
      <c r="K26" s="19">
        <f t="shared" si="2"/>
        <v>800.28836538574217</v>
      </c>
      <c r="L26" s="19">
        <f t="shared" si="2"/>
        <v>840.30278365502943</v>
      </c>
      <c r="M26" s="19">
        <f t="shared" si="2"/>
        <v>882.31792283778088</v>
      </c>
      <c r="N26" s="19">
        <f t="shared" si="2"/>
        <v>926.43381897966992</v>
      </c>
      <c r="O26" s="19">
        <f t="shared" si="2"/>
        <v>972.75550992865328</v>
      </c>
      <c r="P26" s="19">
        <f t="shared" si="2"/>
        <v>1021.3932854250861</v>
      </c>
      <c r="Q26" s="19">
        <f t="shared" si="2"/>
        <v>1072.4629496963403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9">
        <f t="shared" si="2"/>
        <v>0</v>
      </c>
      <c r="X26" s="19">
        <f t="shared" si="2"/>
        <v>0</v>
      </c>
      <c r="Y26" s="19">
        <f t="shared" si="2"/>
        <v>0</v>
      </c>
      <c r="Z26" s="19">
        <f t="shared" si="2"/>
        <v>0</v>
      </c>
      <c r="AA26" s="19">
        <f t="shared" si="2"/>
        <v>0</v>
      </c>
      <c r="AB26" s="3"/>
    </row>
    <row r="27" spans="1:28" x14ac:dyDescent="0.5">
      <c r="A27" s="18" t="s">
        <v>58</v>
      </c>
      <c r="B27" s="23"/>
      <c r="C27" s="19">
        <f>C25</f>
        <v>6500</v>
      </c>
      <c r="D27" s="19">
        <f t="shared" ref="D27:AA27" si="3">D25+C27</f>
        <v>13325</v>
      </c>
      <c r="E27" s="19">
        <f t="shared" si="3"/>
        <v>20491.25</v>
      </c>
      <c r="F27" s="19">
        <f t="shared" si="3"/>
        <v>28015.8125</v>
      </c>
      <c r="G27" s="19">
        <f t="shared" si="3"/>
        <v>35916.603125000001</v>
      </c>
      <c r="H27" s="19">
        <f t="shared" si="3"/>
        <v>44212.43328125</v>
      </c>
      <c r="I27" s="19">
        <f t="shared" si="3"/>
        <v>52923.054945312499</v>
      </c>
      <c r="J27" s="19">
        <f t="shared" si="3"/>
        <v>62069.207692578129</v>
      </c>
      <c r="K27" s="19">
        <f t="shared" si="3"/>
        <v>71672.668077207039</v>
      </c>
      <c r="L27" s="19">
        <f t="shared" si="3"/>
        <v>81756.301481067392</v>
      </c>
      <c r="M27" s="19">
        <f t="shared" si="3"/>
        <v>92344.116555120767</v>
      </c>
      <c r="N27" s="19">
        <f t="shared" si="3"/>
        <v>103461.32238287681</v>
      </c>
      <c r="O27" s="19">
        <f t="shared" si="3"/>
        <v>115134.38850202065</v>
      </c>
      <c r="P27" s="19">
        <f t="shared" si="3"/>
        <v>127391.10792712169</v>
      </c>
      <c r="Q27" s="19">
        <f t="shared" si="3"/>
        <v>140260.66332347778</v>
      </c>
      <c r="R27" s="19">
        <f t="shared" si="3"/>
        <v>140260.66332347778</v>
      </c>
      <c r="S27" s="19">
        <f t="shared" si="3"/>
        <v>140260.66332347778</v>
      </c>
      <c r="T27" s="19">
        <f t="shared" si="3"/>
        <v>140260.66332347778</v>
      </c>
      <c r="U27" s="19">
        <f t="shared" si="3"/>
        <v>140260.66332347778</v>
      </c>
      <c r="V27" s="19">
        <f t="shared" si="3"/>
        <v>140260.66332347778</v>
      </c>
      <c r="W27" s="19">
        <f t="shared" si="3"/>
        <v>140260.66332347778</v>
      </c>
      <c r="X27" s="19">
        <f t="shared" si="3"/>
        <v>140260.66332347778</v>
      </c>
      <c r="Y27" s="19">
        <f t="shared" si="3"/>
        <v>140260.66332347778</v>
      </c>
      <c r="Z27" s="19">
        <f t="shared" si="3"/>
        <v>140260.66332347778</v>
      </c>
      <c r="AA27" s="19">
        <f t="shared" si="3"/>
        <v>140260.66332347778</v>
      </c>
      <c r="AB27" s="3"/>
    </row>
    <row r="28" spans="1:28" x14ac:dyDescent="0.5">
      <c r="A28" s="18" t="s">
        <v>59</v>
      </c>
      <c r="B28" s="23"/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24">
        <v>10</v>
      </c>
      <c r="M28" s="24">
        <v>11</v>
      </c>
      <c r="N28" s="24">
        <v>12</v>
      </c>
      <c r="O28" s="24">
        <v>13</v>
      </c>
      <c r="P28" s="24">
        <v>14</v>
      </c>
      <c r="Q28" s="24">
        <v>15</v>
      </c>
      <c r="R28" s="24">
        <v>16</v>
      </c>
      <c r="S28" s="24">
        <v>17</v>
      </c>
      <c r="T28" s="24">
        <v>18</v>
      </c>
      <c r="U28" s="24">
        <v>19</v>
      </c>
      <c r="V28" s="24">
        <v>20</v>
      </c>
      <c r="W28" s="24">
        <v>21</v>
      </c>
      <c r="X28" s="24">
        <v>22</v>
      </c>
      <c r="Y28" s="24">
        <v>23</v>
      </c>
      <c r="Z28" s="24">
        <v>24</v>
      </c>
      <c r="AA28" s="24">
        <v>25</v>
      </c>
      <c r="AB28" s="3"/>
    </row>
    <row r="29" spans="1:28" x14ac:dyDescent="0.5">
      <c r="A29" s="18" t="s">
        <v>60</v>
      </c>
      <c r="B29" s="23"/>
      <c r="C29" s="16" t="str">
        <f t="shared" ref="C29:AA29" si="4">IF(AND(C27&gt;=$B$11,B27&lt;=$B$11),B28+($B$11-B27)/C25,"-")</f>
        <v>-</v>
      </c>
      <c r="D29" s="16" t="str">
        <f t="shared" si="4"/>
        <v>-</v>
      </c>
      <c r="E29" s="16">
        <f t="shared" si="4"/>
        <v>2.931449502878074</v>
      </c>
      <c r="F29" s="16" t="str">
        <f t="shared" si="4"/>
        <v>-</v>
      </c>
      <c r="G29" s="16" t="str">
        <f t="shared" si="4"/>
        <v>-</v>
      </c>
      <c r="H29" s="16" t="str">
        <f t="shared" si="4"/>
        <v>-</v>
      </c>
      <c r="I29" s="16" t="str">
        <f t="shared" si="4"/>
        <v>-</v>
      </c>
      <c r="J29" s="16" t="str">
        <f t="shared" si="4"/>
        <v>-</v>
      </c>
      <c r="K29" s="16" t="str">
        <f t="shared" si="4"/>
        <v>-</v>
      </c>
      <c r="L29" s="16" t="str">
        <f t="shared" si="4"/>
        <v>-</v>
      </c>
      <c r="M29" s="16" t="str">
        <f t="shared" si="4"/>
        <v>-</v>
      </c>
      <c r="N29" s="16" t="str">
        <f t="shared" si="4"/>
        <v>-</v>
      </c>
      <c r="O29" s="16" t="str">
        <f t="shared" si="4"/>
        <v>-</v>
      </c>
      <c r="P29" s="16" t="str">
        <f t="shared" si="4"/>
        <v>-</v>
      </c>
      <c r="Q29" s="16" t="str">
        <f t="shared" si="4"/>
        <v>-</v>
      </c>
      <c r="R29" s="16" t="str">
        <f t="shared" si="4"/>
        <v>-</v>
      </c>
      <c r="S29" s="16" t="str">
        <f t="shared" si="4"/>
        <v>-</v>
      </c>
      <c r="T29" s="16" t="str">
        <f t="shared" si="4"/>
        <v>-</v>
      </c>
      <c r="U29" s="16" t="str">
        <f t="shared" si="4"/>
        <v>-</v>
      </c>
      <c r="V29" s="16" t="str">
        <f t="shared" si="4"/>
        <v>-</v>
      </c>
      <c r="W29" s="16" t="str">
        <f t="shared" si="4"/>
        <v>-</v>
      </c>
      <c r="X29" s="16" t="str">
        <f t="shared" si="4"/>
        <v>-</v>
      </c>
      <c r="Y29" s="16" t="str">
        <f t="shared" si="4"/>
        <v>-</v>
      </c>
      <c r="Z29" s="16" t="str">
        <f t="shared" si="4"/>
        <v>-</v>
      </c>
      <c r="AA29" s="16" t="str">
        <f t="shared" si="4"/>
        <v>-</v>
      </c>
      <c r="AB29" s="3"/>
    </row>
    <row r="30" spans="1:28" x14ac:dyDescent="0.5">
      <c r="A30" s="21" t="s">
        <v>61</v>
      </c>
      <c r="B30" s="22"/>
      <c r="C30" s="19">
        <f t="shared" ref="C30:AA30" si="5">IF(AND(B32&lt;0,C25&gt;0),B32*$B$10,0)</f>
        <v>-1600</v>
      </c>
      <c r="D30" s="19">
        <f t="shared" si="5"/>
        <v>-1208</v>
      </c>
      <c r="E30" s="19">
        <f t="shared" si="5"/>
        <v>-758.64</v>
      </c>
      <c r="F30" s="19">
        <f t="shared" si="5"/>
        <v>-246.03120000000004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20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5"/>
        <v>0</v>
      </c>
      <c r="W30" s="19">
        <f t="shared" si="5"/>
        <v>0</v>
      </c>
      <c r="X30" s="19">
        <f t="shared" si="5"/>
        <v>0</v>
      </c>
      <c r="Y30" s="19">
        <f t="shared" si="5"/>
        <v>0</v>
      </c>
      <c r="Z30" s="19">
        <f t="shared" si="5"/>
        <v>0</v>
      </c>
      <c r="AA30" s="19">
        <f t="shared" si="5"/>
        <v>0</v>
      </c>
      <c r="AB30" s="3"/>
    </row>
    <row r="31" spans="1:28" x14ac:dyDescent="0.5">
      <c r="A31" s="21" t="s">
        <v>62</v>
      </c>
      <c r="B31" s="22"/>
      <c r="C31" s="19">
        <f t="shared" ref="C31:AA31" si="6">IF(B32&lt;0,IF(B32&lt;-C25-C30,-C25-C30,B32),0)</f>
        <v>-4900</v>
      </c>
      <c r="D31" s="19">
        <f t="shared" si="6"/>
        <v>-5617</v>
      </c>
      <c r="E31" s="19">
        <f t="shared" si="6"/>
        <v>-6407.61</v>
      </c>
      <c r="F31" s="19">
        <f t="shared" si="6"/>
        <v>-3075.3900000000003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20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</v>
      </c>
      <c r="Y31" s="19">
        <f t="shared" si="6"/>
        <v>0</v>
      </c>
      <c r="Z31" s="19">
        <f t="shared" si="6"/>
        <v>0</v>
      </c>
      <c r="AA31" s="19">
        <f t="shared" si="6"/>
        <v>0</v>
      </c>
      <c r="AB31" s="3"/>
    </row>
    <row r="32" spans="1:28" x14ac:dyDescent="0.5">
      <c r="A32" s="21" t="s">
        <v>63</v>
      </c>
      <c r="B32" s="17">
        <f>-B24</f>
        <v>-20000</v>
      </c>
      <c r="C32" s="19">
        <f t="shared" ref="C32:AA32" si="7">IF(AND(B32-C31&lt;0,C25&gt;0),B32-C31,0)</f>
        <v>-15100</v>
      </c>
      <c r="D32" s="19">
        <f t="shared" si="7"/>
        <v>-9483</v>
      </c>
      <c r="E32" s="19">
        <f t="shared" si="7"/>
        <v>-3075.3900000000003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20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0</v>
      </c>
      <c r="U32" s="19">
        <f t="shared" si="7"/>
        <v>0</v>
      </c>
      <c r="V32" s="19">
        <f t="shared" si="7"/>
        <v>0</v>
      </c>
      <c r="W32" s="19">
        <f t="shared" si="7"/>
        <v>0</v>
      </c>
      <c r="X32" s="19">
        <f t="shared" si="7"/>
        <v>0</v>
      </c>
      <c r="Y32" s="19">
        <f t="shared" si="7"/>
        <v>0</v>
      </c>
      <c r="Z32" s="19">
        <f t="shared" si="7"/>
        <v>0</v>
      </c>
      <c r="AA32" s="19">
        <f t="shared" si="7"/>
        <v>0</v>
      </c>
      <c r="AB32" s="3"/>
    </row>
    <row r="33" spans="1:28" x14ac:dyDescent="0.5">
      <c r="A33" s="18" t="s">
        <v>64</v>
      </c>
      <c r="B33" s="17"/>
      <c r="C33" s="16" t="str">
        <f t="shared" ref="C33:AA33" si="8">IF(AND(C32&gt;=0,B32&lt;0),B28+C31/B31,"-")</f>
        <v>-</v>
      </c>
      <c r="D33" s="16" t="str">
        <f t="shared" si="8"/>
        <v>-</v>
      </c>
      <c r="E33" s="16" t="str">
        <f t="shared" si="8"/>
        <v>-</v>
      </c>
      <c r="F33" s="16">
        <f t="shared" si="8"/>
        <v>3.4799589862678908</v>
      </c>
      <c r="G33" s="16" t="str">
        <f t="shared" si="8"/>
        <v>-</v>
      </c>
      <c r="H33" s="16" t="str">
        <f t="shared" si="8"/>
        <v>-</v>
      </c>
      <c r="I33" s="16" t="str">
        <f t="shared" si="8"/>
        <v>-</v>
      </c>
      <c r="J33" s="16" t="str">
        <f t="shared" si="8"/>
        <v>-</v>
      </c>
      <c r="K33" s="16" t="str">
        <f t="shared" si="8"/>
        <v>-</v>
      </c>
      <c r="L33" s="16" t="str">
        <f t="shared" si="8"/>
        <v>-</v>
      </c>
      <c r="M33" s="16" t="str">
        <f t="shared" si="8"/>
        <v>-</v>
      </c>
      <c r="N33" s="16" t="str">
        <f t="shared" si="8"/>
        <v>-</v>
      </c>
      <c r="O33" s="16" t="str">
        <f t="shared" si="8"/>
        <v>-</v>
      </c>
      <c r="P33" s="16" t="str">
        <f t="shared" si="8"/>
        <v>-</v>
      </c>
      <c r="Q33" s="16" t="str">
        <f t="shared" si="8"/>
        <v>-</v>
      </c>
      <c r="R33" s="16" t="str">
        <f t="shared" si="8"/>
        <v>-</v>
      </c>
      <c r="S33" s="16" t="str">
        <f t="shared" si="8"/>
        <v>-</v>
      </c>
      <c r="T33" s="16" t="str">
        <f t="shared" si="8"/>
        <v>-</v>
      </c>
      <c r="U33" s="16" t="str">
        <f t="shared" si="8"/>
        <v>-</v>
      </c>
      <c r="V33" s="16" t="str">
        <f t="shared" si="8"/>
        <v>-</v>
      </c>
      <c r="W33" s="16" t="str">
        <f t="shared" si="8"/>
        <v>-</v>
      </c>
      <c r="X33" s="16" t="str">
        <f t="shared" si="8"/>
        <v>-</v>
      </c>
      <c r="Y33" s="16" t="str">
        <f t="shared" si="8"/>
        <v>-</v>
      </c>
      <c r="Z33" s="16" t="str">
        <f t="shared" si="8"/>
        <v>-</v>
      </c>
      <c r="AA33" s="16" t="str">
        <f t="shared" si="8"/>
        <v>-</v>
      </c>
      <c r="AB33" s="3"/>
    </row>
    <row r="34" spans="1:28" x14ac:dyDescent="0.5">
      <c r="A34" s="15" t="s">
        <v>65</v>
      </c>
      <c r="B34" s="14"/>
      <c r="C34" s="12">
        <f t="shared" ref="C34:AA34" si="9">C25+C30+C31</f>
        <v>0</v>
      </c>
      <c r="D34" s="12">
        <f t="shared" si="9"/>
        <v>0</v>
      </c>
      <c r="E34" s="12">
        <f t="shared" si="9"/>
        <v>0</v>
      </c>
      <c r="F34" s="12">
        <f t="shared" si="9"/>
        <v>4203.1413000000002</v>
      </c>
      <c r="G34" s="12">
        <f t="shared" si="9"/>
        <v>7900.7906249999996</v>
      </c>
      <c r="H34" s="12">
        <f t="shared" si="9"/>
        <v>8295.8301562500001</v>
      </c>
      <c r="I34" s="12">
        <f t="shared" si="9"/>
        <v>8710.6216640625007</v>
      </c>
      <c r="J34" s="12">
        <f t="shared" si="9"/>
        <v>9146.1527472656271</v>
      </c>
      <c r="K34" s="12">
        <f t="shared" si="9"/>
        <v>9603.4603846289065</v>
      </c>
      <c r="L34" s="13">
        <f t="shared" si="9"/>
        <v>10083.633403860353</v>
      </c>
      <c r="M34" s="12">
        <f t="shared" si="9"/>
        <v>10587.815074053371</v>
      </c>
      <c r="N34" s="12">
        <f t="shared" si="9"/>
        <v>11117.205827756039</v>
      </c>
      <c r="O34" s="12">
        <f t="shared" si="9"/>
        <v>11673.066119143839</v>
      </c>
      <c r="P34" s="12">
        <f t="shared" si="9"/>
        <v>12256.719425101033</v>
      </c>
      <c r="Q34" s="12">
        <f t="shared" si="9"/>
        <v>12869.555396356083</v>
      </c>
      <c r="R34" s="12">
        <f t="shared" si="9"/>
        <v>0</v>
      </c>
      <c r="S34" s="12">
        <f t="shared" si="9"/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2">
        <f t="shared" si="9"/>
        <v>0</v>
      </c>
      <c r="X34" s="12">
        <f t="shared" si="9"/>
        <v>0</v>
      </c>
      <c r="Y34" s="12">
        <f t="shared" si="9"/>
        <v>0</v>
      </c>
      <c r="Z34" s="12">
        <f t="shared" si="9"/>
        <v>0</v>
      </c>
      <c r="AA34" s="12">
        <f t="shared" si="9"/>
        <v>0</v>
      </c>
      <c r="AB34" s="3"/>
    </row>
    <row r="35" spans="1:28" x14ac:dyDescent="0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/>
    </row>
    <row r="36" spans="1:28" x14ac:dyDescent="0.5">
      <c r="A36" s="9" t="s">
        <v>66</v>
      </c>
      <c r="B36" s="10" t="str">
        <f>"01. Jan."&amp; B8</f>
        <v>01. Jan.2014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"/>
    </row>
    <row r="37" spans="1:28" x14ac:dyDescent="0.5">
      <c r="A37" s="7" t="s">
        <v>48</v>
      </c>
      <c r="B37" s="6">
        <f>SUM(C37:AA37)</f>
        <v>54670.946181157386</v>
      </c>
      <c r="C37" s="4">
        <f t="shared" ref="C37:AA37" si="10">IF(C34&gt;0,C34/(1+$B$10)^(C23-$B$23+1),IF(AND(C32&lt;0,D25=0),C32/(1+$B$10)^(C23-$B$23+1),0))</f>
        <v>0</v>
      </c>
      <c r="D37" s="4">
        <f t="shared" si="10"/>
        <v>0</v>
      </c>
      <c r="E37" s="4">
        <f t="shared" si="10"/>
        <v>0</v>
      </c>
      <c r="F37" s="4">
        <f t="shared" si="10"/>
        <v>3089.4343310216932</v>
      </c>
      <c r="G37" s="4">
        <f t="shared" si="10"/>
        <v>5377.1453426568032</v>
      </c>
      <c r="H37" s="4">
        <f t="shared" si="10"/>
        <v>5227.7801942496699</v>
      </c>
      <c r="I37" s="4">
        <f t="shared" si="10"/>
        <v>5082.5640777427343</v>
      </c>
      <c r="J37" s="4">
        <f t="shared" si="10"/>
        <v>4941.3817422498814</v>
      </c>
      <c r="K37" s="5">
        <f t="shared" si="10"/>
        <v>4804.1211382984948</v>
      </c>
      <c r="L37" s="4">
        <f t="shared" si="10"/>
        <v>4670.6733289013146</v>
      </c>
      <c r="M37" s="4">
        <f t="shared" si="10"/>
        <v>4540.9324030985008</v>
      </c>
      <c r="N37" s="4">
        <f t="shared" si="10"/>
        <v>4414.7953919013189</v>
      </c>
      <c r="O37" s="4">
        <f t="shared" si="10"/>
        <v>4292.1621865707266</v>
      </c>
      <c r="P37" s="4">
        <f t="shared" si="10"/>
        <v>4172.935459165984</v>
      </c>
      <c r="Q37" s="4">
        <f t="shared" si="10"/>
        <v>4057.0205853002612</v>
      </c>
      <c r="R37" s="4">
        <f t="shared" si="10"/>
        <v>0</v>
      </c>
      <c r="S37" s="4">
        <f t="shared" si="10"/>
        <v>0</v>
      </c>
      <c r="T37" s="4">
        <f t="shared" si="10"/>
        <v>0</v>
      </c>
      <c r="U37" s="4">
        <f t="shared" si="10"/>
        <v>0</v>
      </c>
      <c r="V37" s="4">
        <f t="shared" si="10"/>
        <v>0</v>
      </c>
      <c r="W37" s="4">
        <f t="shared" si="10"/>
        <v>0</v>
      </c>
      <c r="X37" s="4">
        <f t="shared" si="10"/>
        <v>0</v>
      </c>
      <c r="Y37" s="4">
        <f t="shared" si="10"/>
        <v>0</v>
      </c>
      <c r="Z37" s="4">
        <f t="shared" si="10"/>
        <v>0</v>
      </c>
      <c r="AA37" s="4">
        <f t="shared" si="10"/>
        <v>0</v>
      </c>
      <c r="AB37" s="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4" workbookViewId="0">
      <selection activeCell="B24" sqref="B24"/>
    </sheetView>
  </sheetViews>
  <sheetFormatPr baseColWidth="10" defaultRowHeight="14.35" x14ac:dyDescent="0.5"/>
  <cols>
    <col min="1" max="1" width="40.29296875" customWidth="1"/>
    <col min="2" max="2" width="25.41015625" customWidth="1"/>
    <col min="3" max="3" width="16.41015625" customWidth="1"/>
  </cols>
  <sheetData>
    <row r="1" spans="1:28" ht="18" x14ac:dyDescent="0.6">
      <c r="A1" s="50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5">
      <c r="A2" s="52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5">
      <c r="A3" s="52"/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5">
      <c r="A4" s="52"/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5">
      <c r="A5" s="52"/>
      <c r="B5" s="54"/>
      <c r="C5" s="3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5">
      <c r="A6" s="55"/>
      <c r="B6" s="56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x14ac:dyDescent="0.6">
      <c r="A7" s="2" t="s">
        <v>37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5">
      <c r="A8" s="39" t="s">
        <v>38</v>
      </c>
      <c r="B8" s="49">
        <f>Referenz!B8</f>
        <v>2014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5">
      <c r="A9" s="39" t="s">
        <v>39</v>
      </c>
      <c r="B9" s="49">
        <f>Referenz!B9</f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5">
      <c r="A10" s="39" t="s">
        <v>40</v>
      </c>
      <c r="B10" s="38">
        <f>Referenz!B10</f>
        <v>0.08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5">
      <c r="A11" s="39" t="s">
        <v>41</v>
      </c>
      <c r="B11" s="40">
        <f>Übersicht!F48</f>
        <v>15000</v>
      </c>
      <c r="C11" s="33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5">
      <c r="A12" s="39" t="s">
        <v>42</v>
      </c>
      <c r="B12" s="40">
        <f>Übersicht!F46*-1</f>
        <v>8177.419354838712</v>
      </c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5">
      <c r="A13" s="39" t="s">
        <v>43</v>
      </c>
      <c r="B13" s="48">
        <v>0.05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5">
      <c r="A14" s="2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x14ac:dyDescent="0.6">
      <c r="A15" s="36" t="s">
        <v>44</v>
      </c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5">
      <c r="A16" s="47" t="s">
        <v>45</v>
      </c>
      <c r="B16" s="46">
        <f>B11/(SUM(C25:AA25)/B9)</f>
        <v>1.2750984460531731</v>
      </c>
      <c r="C16" s="45">
        <f>MIN(C29:AA29)</f>
        <v>1.7945900253592555</v>
      </c>
      <c r="D16" s="44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5">
      <c r="A17" s="39" t="s">
        <v>47</v>
      </c>
      <c r="B17" s="43">
        <f>NPER(B10,PMT(B10,B9,-B18-B11),-B11)</f>
        <v>1.5045415374293623</v>
      </c>
      <c r="C17" s="42">
        <f>MAX(C33:AA33)</f>
        <v>2.009830314399522</v>
      </c>
      <c r="D17" s="41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5">
      <c r="A18" s="39" t="s">
        <v>48</v>
      </c>
      <c r="B18" s="40">
        <f>B37</f>
        <v>78940.867776294806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5">
      <c r="A19" s="39" t="s">
        <v>49</v>
      </c>
      <c r="B19" s="38">
        <f>IRR(B25:AA25,0.1)</f>
        <v>0.59412247287912523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5">
      <c r="A20" s="27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x14ac:dyDescent="0.6">
      <c r="A21" s="36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3" t="s">
        <v>51</v>
      </c>
    </row>
    <row r="22" spans="1:28" x14ac:dyDescent="0.5">
      <c r="A22" s="9" t="s">
        <v>52</v>
      </c>
      <c r="B22" s="32" t="s">
        <v>53</v>
      </c>
      <c r="C22" s="30" t="s">
        <v>54</v>
      </c>
      <c r="D22" s="30" t="s">
        <v>54</v>
      </c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s="30" t="s">
        <v>54</v>
      </c>
      <c r="L22" s="31" t="s">
        <v>54</v>
      </c>
      <c r="M22" s="30" t="s">
        <v>54</v>
      </c>
      <c r="N22" s="30" t="s">
        <v>54</v>
      </c>
      <c r="O22" s="30" t="s">
        <v>54</v>
      </c>
      <c r="P22" s="30" t="s">
        <v>54</v>
      </c>
      <c r="Q22" s="30" t="s">
        <v>54</v>
      </c>
      <c r="R22" s="30" t="s">
        <v>54</v>
      </c>
      <c r="S22" s="30" t="s">
        <v>54</v>
      </c>
      <c r="T22" s="30" t="s">
        <v>54</v>
      </c>
      <c r="U22" s="30" t="s">
        <v>54</v>
      </c>
      <c r="V22" s="30" t="s">
        <v>54</v>
      </c>
      <c r="W22" s="30" t="s">
        <v>54</v>
      </c>
      <c r="X22" s="30" t="s">
        <v>54</v>
      </c>
      <c r="Y22" s="30" t="s">
        <v>54</v>
      </c>
      <c r="Z22" s="30" t="s">
        <v>54</v>
      </c>
      <c r="AA22" s="30" t="s">
        <v>54</v>
      </c>
      <c r="AB22" s="29">
        <f>AA23-C23</f>
        <v>24</v>
      </c>
    </row>
    <row r="23" spans="1:28" x14ac:dyDescent="0.5">
      <c r="A23" s="27"/>
      <c r="B23" s="28">
        <f>B8</f>
        <v>2014</v>
      </c>
      <c r="C23" s="26">
        <f>B23</f>
        <v>2014</v>
      </c>
      <c r="D23" s="26">
        <f t="shared" ref="D23:AA23" si="0">C23+1</f>
        <v>2015</v>
      </c>
      <c r="E23" s="26">
        <f t="shared" si="0"/>
        <v>2016</v>
      </c>
      <c r="F23" s="26">
        <f t="shared" si="0"/>
        <v>2017</v>
      </c>
      <c r="G23" s="26">
        <f t="shared" si="0"/>
        <v>2018</v>
      </c>
      <c r="H23" s="26">
        <f t="shared" si="0"/>
        <v>2019</v>
      </c>
      <c r="I23" s="26">
        <f t="shared" si="0"/>
        <v>2020</v>
      </c>
      <c r="J23" s="26">
        <f t="shared" si="0"/>
        <v>2021</v>
      </c>
      <c r="K23" s="26">
        <f t="shared" si="0"/>
        <v>2022</v>
      </c>
      <c r="L23" s="27">
        <f t="shared" si="0"/>
        <v>2023</v>
      </c>
      <c r="M23" s="26">
        <f t="shared" si="0"/>
        <v>2024</v>
      </c>
      <c r="N23" s="26">
        <f t="shared" si="0"/>
        <v>2025</v>
      </c>
      <c r="O23" s="26">
        <f t="shared" si="0"/>
        <v>2026</v>
      </c>
      <c r="P23" s="26">
        <f t="shared" si="0"/>
        <v>2027</v>
      </c>
      <c r="Q23" s="26">
        <f t="shared" si="0"/>
        <v>2028</v>
      </c>
      <c r="R23" s="26">
        <f t="shared" si="0"/>
        <v>2029</v>
      </c>
      <c r="S23" s="26">
        <f t="shared" si="0"/>
        <v>2030</v>
      </c>
      <c r="T23" s="26">
        <f t="shared" si="0"/>
        <v>2031</v>
      </c>
      <c r="U23" s="26">
        <f t="shared" si="0"/>
        <v>2032</v>
      </c>
      <c r="V23" s="26">
        <f t="shared" si="0"/>
        <v>2033</v>
      </c>
      <c r="W23" s="26">
        <f t="shared" si="0"/>
        <v>2034</v>
      </c>
      <c r="X23" s="26">
        <f t="shared" si="0"/>
        <v>2035</v>
      </c>
      <c r="Y23" s="26">
        <f t="shared" si="0"/>
        <v>2036</v>
      </c>
      <c r="Z23" s="26">
        <f t="shared" si="0"/>
        <v>2037</v>
      </c>
      <c r="AA23" s="26">
        <f t="shared" si="0"/>
        <v>2038</v>
      </c>
      <c r="AB23" s="3"/>
    </row>
    <row r="24" spans="1:28" x14ac:dyDescent="0.5">
      <c r="A24" s="21" t="s">
        <v>55</v>
      </c>
      <c r="B24" s="17">
        <f>B11</f>
        <v>15000</v>
      </c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"/>
    </row>
    <row r="25" spans="1:28" x14ac:dyDescent="0.5">
      <c r="A25" s="21" t="s">
        <v>56</v>
      </c>
      <c r="B25" s="23">
        <f>B32</f>
        <v>-15000</v>
      </c>
      <c r="C25" s="19">
        <f t="shared" ref="C25:AA25" si="1">IF(C23&lt;=$B$23+$B$9-1,$B$12*(1+$B$13)^(C23-$B$23),0)</f>
        <v>8177.419354838712</v>
      </c>
      <c r="D25" s="19">
        <f t="shared" si="1"/>
        <v>8586.2903225806476</v>
      </c>
      <c r="E25" s="19">
        <f t="shared" si="1"/>
        <v>9015.6048387096798</v>
      </c>
      <c r="F25" s="19">
        <f t="shared" si="1"/>
        <v>9466.3850806451646</v>
      </c>
      <c r="G25" s="19">
        <f t="shared" si="1"/>
        <v>9939.7043346774226</v>
      </c>
      <c r="H25" s="19">
        <f t="shared" si="1"/>
        <v>10436.689551411295</v>
      </c>
      <c r="I25" s="19">
        <f t="shared" si="1"/>
        <v>10958.524028981858</v>
      </c>
      <c r="J25" s="19">
        <f t="shared" si="1"/>
        <v>11506.450230430954</v>
      </c>
      <c r="K25" s="19">
        <f t="shared" si="1"/>
        <v>12081.7727419525</v>
      </c>
      <c r="L25" s="20">
        <f t="shared" si="1"/>
        <v>12685.861379050124</v>
      </c>
      <c r="M25" s="19">
        <f t="shared" si="1"/>
        <v>13320.154448002631</v>
      </c>
      <c r="N25" s="19">
        <f t="shared" si="1"/>
        <v>13986.162170402764</v>
      </c>
      <c r="O25" s="19">
        <f t="shared" si="1"/>
        <v>14685.4702789229</v>
      </c>
      <c r="P25" s="19">
        <f t="shared" si="1"/>
        <v>15419.743792869047</v>
      </c>
      <c r="Q25" s="19">
        <f t="shared" si="1"/>
        <v>16190.730982512496</v>
      </c>
      <c r="R25" s="19">
        <f t="shared" si="1"/>
        <v>0</v>
      </c>
      <c r="S25" s="19">
        <f t="shared" si="1"/>
        <v>0</v>
      </c>
      <c r="T25" s="19">
        <f t="shared" si="1"/>
        <v>0</v>
      </c>
      <c r="U25" s="19">
        <f t="shared" si="1"/>
        <v>0</v>
      </c>
      <c r="V25" s="19">
        <f t="shared" si="1"/>
        <v>0</v>
      </c>
      <c r="W25" s="19">
        <f t="shared" si="1"/>
        <v>0</v>
      </c>
      <c r="X25" s="19">
        <f t="shared" si="1"/>
        <v>0</v>
      </c>
      <c r="Y25" s="19">
        <f t="shared" si="1"/>
        <v>0</v>
      </c>
      <c r="Z25" s="19">
        <f t="shared" si="1"/>
        <v>0</v>
      </c>
      <c r="AA25" s="19">
        <f t="shared" si="1"/>
        <v>0</v>
      </c>
      <c r="AB25" s="3"/>
    </row>
    <row r="26" spans="1:28" x14ac:dyDescent="0.5">
      <c r="A26" s="18" t="s">
        <v>57</v>
      </c>
      <c r="B26" s="23"/>
      <c r="C26" s="19">
        <f t="shared" ref="C26:AA26" si="2">C25/12</f>
        <v>681.45161290322596</v>
      </c>
      <c r="D26" s="19">
        <f t="shared" si="2"/>
        <v>715.5241935483873</v>
      </c>
      <c r="E26" s="19">
        <f t="shared" si="2"/>
        <v>751.30040322580669</v>
      </c>
      <c r="F26" s="19">
        <f t="shared" si="2"/>
        <v>788.86542338709705</v>
      </c>
      <c r="G26" s="19">
        <f t="shared" si="2"/>
        <v>828.30869455645188</v>
      </c>
      <c r="H26" s="19">
        <f t="shared" si="2"/>
        <v>869.72412928427457</v>
      </c>
      <c r="I26" s="19">
        <f t="shared" si="2"/>
        <v>913.21033574848809</v>
      </c>
      <c r="J26" s="19">
        <f t="shared" si="2"/>
        <v>958.87085253591283</v>
      </c>
      <c r="K26" s="19">
        <f t="shared" si="2"/>
        <v>1006.8143951627084</v>
      </c>
      <c r="L26" s="19">
        <f t="shared" si="2"/>
        <v>1057.1551149208437</v>
      </c>
      <c r="M26" s="19">
        <f t="shared" si="2"/>
        <v>1110.0128706668859</v>
      </c>
      <c r="N26" s="19">
        <f t="shared" si="2"/>
        <v>1165.5135142002302</v>
      </c>
      <c r="O26" s="19">
        <f t="shared" si="2"/>
        <v>1223.7891899102417</v>
      </c>
      <c r="P26" s="19">
        <f t="shared" si="2"/>
        <v>1284.9786494057539</v>
      </c>
      <c r="Q26" s="19">
        <f t="shared" si="2"/>
        <v>1349.2275818760413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9">
        <f t="shared" si="2"/>
        <v>0</v>
      </c>
      <c r="X26" s="19">
        <f t="shared" si="2"/>
        <v>0</v>
      </c>
      <c r="Y26" s="19">
        <f t="shared" si="2"/>
        <v>0</v>
      </c>
      <c r="Z26" s="19">
        <f t="shared" si="2"/>
        <v>0</v>
      </c>
      <c r="AA26" s="19">
        <f t="shared" si="2"/>
        <v>0</v>
      </c>
      <c r="AB26" s="3"/>
    </row>
    <row r="27" spans="1:28" x14ac:dyDescent="0.5">
      <c r="A27" s="18" t="s">
        <v>58</v>
      </c>
      <c r="B27" s="23"/>
      <c r="C27" s="19">
        <f>C25</f>
        <v>8177.419354838712</v>
      </c>
      <c r="D27" s="19">
        <f t="shared" ref="D27:AA27" si="3">D25+C27</f>
        <v>16763.70967741936</v>
      </c>
      <c r="E27" s="19">
        <f t="shared" si="3"/>
        <v>25779.314516129038</v>
      </c>
      <c r="F27" s="19">
        <f t="shared" si="3"/>
        <v>35245.699596774204</v>
      </c>
      <c r="G27" s="19">
        <f t="shared" si="3"/>
        <v>45185.403931451627</v>
      </c>
      <c r="H27" s="19">
        <f t="shared" si="3"/>
        <v>55622.093482862925</v>
      </c>
      <c r="I27" s="19">
        <f t="shared" si="3"/>
        <v>66580.617511844786</v>
      </c>
      <c r="J27" s="19">
        <f t="shared" si="3"/>
        <v>78087.067742275744</v>
      </c>
      <c r="K27" s="19">
        <f t="shared" si="3"/>
        <v>90168.840484228247</v>
      </c>
      <c r="L27" s="19">
        <f t="shared" si="3"/>
        <v>102854.70186327837</v>
      </c>
      <c r="M27" s="19">
        <f t="shared" si="3"/>
        <v>116174.85631128101</v>
      </c>
      <c r="N27" s="19">
        <f t="shared" si="3"/>
        <v>130161.01848168377</v>
      </c>
      <c r="O27" s="19">
        <f t="shared" si="3"/>
        <v>144846.48876060668</v>
      </c>
      <c r="P27" s="19">
        <f t="shared" si="3"/>
        <v>160266.23255347571</v>
      </c>
      <c r="Q27" s="19">
        <f t="shared" si="3"/>
        <v>176456.96353598821</v>
      </c>
      <c r="R27" s="19">
        <f t="shared" si="3"/>
        <v>176456.96353598821</v>
      </c>
      <c r="S27" s="19">
        <f t="shared" si="3"/>
        <v>176456.96353598821</v>
      </c>
      <c r="T27" s="19">
        <f t="shared" si="3"/>
        <v>176456.96353598821</v>
      </c>
      <c r="U27" s="19">
        <f t="shared" si="3"/>
        <v>176456.96353598821</v>
      </c>
      <c r="V27" s="19">
        <f t="shared" si="3"/>
        <v>176456.96353598821</v>
      </c>
      <c r="W27" s="19">
        <f t="shared" si="3"/>
        <v>176456.96353598821</v>
      </c>
      <c r="X27" s="19">
        <f t="shared" si="3"/>
        <v>176456.96353598821</v>
      </c>
      <c r="Y27" s="19">
        <f t="shared" si="3"/>
        <v>176456.96353598821</v>
      </c>
      <c r="Z27" s="19">
        <f t="shared" si="3"/>
        <v>176456.96353598821</v>
      </c>
      <c r="AA27" s="19">
        <f t="shared" si="3"/>
        <v>176456.96353598821</v>
      </c>
      <c r="AB27" s="3"/>
    </row>
    <row r="28" spans="1:28" x14ac:dyDescent="0.5">
      <c r="A28" s="18" t="s">
        <v>59</v>
      </c>
      <c r="B28" s="23"/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24">
        <v>10</v>
      </c>
      <c r="M28" s="24">
        <v>11</v>
      </c>
      <c r="N28" s="24">
        <v>12</v>
      </c>
      <c r="O28" s="24">
        <v>13</v>
      </c>
      <c r="P28" s="24">
        <v>14</v>
      </c>
      <c r="Q28" s="24">
        <v>15</v>
      </c>
      <c r="R28" s="24">
        <v>16</v>
      </c>
      <c r="S28" s="24">
        <v>17</v>
      </c>
      <c r="T28" s="24">
        <v>18</v>
      </c>
      <c r="U28" s="24">
        <v>19</v>
      </c>
      <c r="V28" s="24">
        <v>20</v>
      </c>
      <c r="W28" s="24">
        <v>21</v>
      </c>
      <c r="X28" s="24">
        <v>22</v>
      </c>
      <c r="Y28" s="24">
        <v>23</v>
      </c>
      <c r="Z28" s="24">
        <v>24</v>
      </c>
      <c r="AA28" s="24">
        <v>25</v>
      </c>
      <c r="AB28" s="3"/>
    </row>
    <row r="29" spans="1:28" x14ac:dyDescent="0.5">
      <c r="A29" s="18" t="s">
        <v>60</v>
      </c>
      <c r="B29" s="23"/>
      <c r="C29" s="16" t="str">
        <f t="shared" ref="C29:AA29" si="4">IF(AND(C27&gt;=$B$11,B27&lt;=$B$11),B28+($B$11-B27)/C25,"-")</f>
        <v>-</v>
      </c>
      <c r="D29" s="16">
        <f t="shared" si="4"/>
        <v>1.7945900253592555</v>
      </c>
      <c r="E29" s="16" t="str">
        <f t="shared" si="4"/>
        <v>-</v>
      </c>
      <c r="F29" s="16" t="str">
        <f t="shared" si="4"/>
        <v>-</v>
      </c>
      <c r="G29" s="16" t="str">
        <f t="shared" si="4"/>
        <v>-</v>
      </c>
      <c r="H29" s="16" t="str">
        <f t="shared" si="4"/>
        <v>-</v>
      </c>
      <c r="I29" s="16" t="str">
        <f t="shared" si="4"/>
        <v>-</v>
      </c>
      <c r="J29" s="16" t="str">
        <f t="shared" si="4"/>
        <v>-</v>
      </c>
      <c r="K29" s="16" t="str">
        <f t="shared" si="4"/>
        <v>-</v>
      </c>
      <c r="L29" s="16" t="str">
        <f t="shared" si="4"/>
        <v>-</v>
      </c>
      <c r="M29" s="16" t="str">
        <f t="shared" si="4"/>
        <v>-</v>
      </c>
      <c r="N29" s="16" t="str">
        <f t="shared" si="4"/>
        <v>-</v>
      </c>
      <c r="O29" s="16" t="str">
        <f t="shared" si="4"/>
        <v>-</v>
      </c>
      <c r="P29" s="16" t="str">
        <f t="shared" si="4"/>
        <v>-</v>
      </c>
      <c r="Q29" s="16" t="str">
        <f t="shared" si="4"/>
        <v>-</v>
      </c>
      <c r="R29" s="16" t="str">
        <f t="shared" si="4"/>
        <v>-</v>
      </c>
      <c r="S29" s="16" t="str">
        <f t="shared" si="4"/>
        <v>-</v>
      </c>
      <c r="T29" s="16" t="str">
        <f t="shared" si="4"/>
        <v>-</v>
      </c>
      <c r="U29" s="16" t="str">
        <f t="shared" si="4"/>
        <v>-</v>
      </c>
      <c r="V29" s="16" t="str">
        <f t="shared" si="4"/>
        <v>-</v>
      </c>
      <c r="W29" s="16" t="str">
        <f t="shared" si="4"/>
        <v>-</v>
      </c>
      <c r="X29" s="16" t="str">
        <f t="shared" si="4"/>
        <v>-</v>
      </c>
      <c r="Y29" s="16" t="str">
        <f t="shared" si="4"/>
        <v>-</v>
      </c>
      <c r="Z29" s="16" t="str">
        <f t="shared" si="4"/>
        <v>-</v>
      </c>
      <c r="AA29" s="16" t="str">
        <f t="shared" si="4"/>
        <v>-</v>
      </c>
      <c r="AB29" s="3"/>
    </row>
    <row r="30" spans="1:28" x14ac:dyDescent="0.5">
      <c r="A30" s="21" t="s">
        <v>61</v>
      </c>
      <c r="B30" s="22"/>
      <c r="C30" s="19">
        <f t="shared" ref="C30:AA30" si="5">IF(AND(B32&lt;0,C25&gt;0),B32*$B$10,0)</f>
        <v>-1200</v>
      </c>
      <c r="D30" s="19">
        <f t="shared" si="5"/>
        <v>-641.80645161290306</v>
      </c>
      <c r="E30" s="19">
        <f t="shared" si="5"/>
        <v>-6.2477419354835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20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5"/>
        <v>0</v>
      </c>
      <c r="W30" s="19">
        <f t="shared" si="5"/>
        <v>0</v>
      </c>
      <c r="X30" s="19">
        <f t="shared" si="5"/>
        <v>0</v>
      </c>
      <c r="Y30" s="19">
        <f t="shared" si="5"/>
        <v>0</v>
      </c>
      <c r="Z30" s="19">
        <f t="shared" si="5"/>
        <v>0</v>
      </c>
      <c r="AA30" s="19">
        <f t="shared" si="5"/>
        <v>0</v>
      </c>
      <c r="AB30" s="3"/>
    </row>
    <row r="31" spans="1:28" x14ac:dyDescent="0.5">
      <c r="A31" s="21" t="s">
        <v>62</v>
      </c>
      <c r="B31" s="22"/>
      <c r="C31" s="19">
        <f t="shared" ref="C31:AA31" si="6">IF(B32&lt;0,IF(B32&lt;-C25-C30,-C25-C30,B32),0)</f>
        <v>-6977.419354838712</v>
      </c>
      <c r="D31" s="19">
        <f t="shared" si="6"/>
        <v>-7944.4838709677442</v>
      </c>
      <c r="E31" s="19">
        <f t="shared" si="6"/>
        <v>-78.096774193543752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20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</v>
      </c>
      <c r="Y31" s="19">
        <f t="shared" si="6"/>
        <v>0</v>
      </c>
      <c r="Z31" s="19">
        <f t="shared" si="6"/>
        <v>0</v>
      </c>
      <c r="AA31" s="19">
        <f t="shared" si="6"/>
        <v>0</v>
      </c>
      <c r="AB31" s="3"/>
    </row>
    <row r="32" spans="1:28" x14ac:dyDescent="0.5">
      <c r="A32" s="21" t="s">
        <v>63</v>
      </c>
      <c r="B32" s="17">
        <f>-B24</f>
        <v>-15000</v>
      </c>
      <c r="C32" s="19">
        <f t="shared" ref="C32:AA32" si="7">IF(AND(B32-C31&lt;0,C25&gt;0),B32-C31,0)</f>
        <v>-8022.580645161288</v>
      </c>
      <c r="D32" s="19">
        <f t="shared" si="7"/>
        <v>-78.096774193543752</v>
      </c>
      <c r="E32" s="19">
        <f t="shared" si="7"/>
        <v>0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20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0</v>
      </c>
      <c r="U32" s="19">
        <f t="shared" si="7"/>
        <v>0</v>
      </c>
      <c r="V32" s="19">
        <f t="shared" si="7"/>
        <v>0</v>
      </c>
      <c r="W32" s="19">
        <f t="shared" si="7"/>
        <v>0</v>
      </c>
      <c r="X32" s="19">
        <f t="shared" si="7"/>
        <v>0</v>
      </c>
      <c r="Y32" s="19">
        <f t="shared" si="7"/>
        <v>0</v>
      </c>
      <c r="Z32" s="19">
        <f t="shared" si="7"/>
        <v>0</v>
      </c>
      <c r="AA32" s="19">
        <f t="shared" si="7"/>
        <v>0</v>
      </c>
      <c r="AB32" s="3"/>
    </row>
    <row r="33" spans="1:28" x14ac:dyDescent="0.5">
      <c r="A33" s="18" t="s">
        <v>64</v>
      </c>
      <c r="B33" s="17"/>
      <c r="C33" s="16" t="str">
        <f t="shared" ref="C33:AA33" si="8">IF(AND(C32&gt;=0,B32&lt;0),B28+C31/B31,"-")</f>
        <v>-</v>
      </c>
      <c r="D33" s="16" t="str">
        <f t="shared" si="8"/>
        <v>-</v>
      </c>
      <c r="E33" s="16">
        <f t="shared" si="8"/>
        <v>2.009830314399522</v>
      </c>
      <c r="F33" s="16" t="str">
        <f t="shared" si="8"/>
        <v>-</v>
      </c>
      <c r="G33" s="16" t="str">
        <f t="shared" si="8"/>
        <v>-</v>
      </c>
      <c r="H33" s="16" t="str">
        <f t="shared" si="8"/>
        <v>-</v>
      </c>
      <c r="I33" s="16" t="str">
        <f t="shared" si="8"/>
        <v>-</v>
      </c>
      <c r="J33" s="16" t="str">
        <f t="shared" si="8"/>
        <v>-</v>
      </c>
      <c r="K33" s="16" t="str">
        <f t="shared" si="8"/>
        <v>-</v>
      </c>
      <c r="L33" s="16" t="str">
        <f t="shared" si="8"/>
        <v>-</v>
      </c>
      <c r="M33" s="16" t="str">
        <f t="shared" si="8"/>
        <v>-</v>
      </c>
      <c r="N33" s="16" t="str">
        <f t="shared" si="8"/>
        <v>-</v>
      </c>
      <c r="O33" s="16" t="str">
        <f t="shared" si="8"/>
        <v>-</v>
      </c>
      <c r="P33" s="16" t="str">
        <f t="shared" si="8"/>
        <v>-</v>
      </c>
      <c r="Q33" s="16" t="str">
        <f t="shared" si="8"/>
        <v>-</v>
      </c>
      <c r="R33" s="16" t="str">
        <f t="shared" si="8"/>
        <v>-</v>
      </c>
      <c r="S33" s="16" t="str">
        <f t="shared" si="8"/>
        <v>-</v>
      </c>
      <c r="T33" s="16" t="str">
        <f t="shared" si="8"/>
        <v>-</v>
      </c>
      <c r="U33" s="16" t="str">
        <f t="shared" si="8"/>
        <v>-</v>
      </c>
      <c r="V33" s="16" t="str">
        <f t="shared" si="8"/>
        <v>-</v>
      </c>
      <c r="W33" s="16" t="str">
        <f t="shared" si="8"/>
        <v>-</v>
      </c>
      <c r="X33" s="16" t="str">
        <f t="shared" si="8"/>
        <v>-</v>
      </c>
      <c r="Y33" s="16" t="str">
        <f t="shared" si="8"/>
        <v>-</v>
      </c>
      <c r="Z33" s="16" t="str">
        <f t="shared" si="8"/>
        <v>-</v>
      </c>
      <c r="AA33" s="16" t="str">
        <f t="shared" si="8"/>
        <v>-</v>
      </c>
      <c r="AB33" s="3"/>
    </row>
    <row r="34" spans="1:28" x14ac:dyDescent="0.5">
      <c r="A34" s="15" t="s">
        <v>65</v>
      </c>
      <c r="B34" s="14"/>
      <c r="C34" s="12">
        <f t="shared" ref="C34:AA34" si="9">C25+C30+C31</f>
        <v>0</v>
      </c>
      <c r="D34" s="12">
        <f t="shared" si="9"/>
        <v>0</v>
      </c>
      <c r="E34" s="12">
        <f t="shared" si="9"/>
        <v>8931.2603225806524</v>
      </c>
      <c r="F34" s="12">
        <f t="shared" si="9"/>
        <v>9466.3850806451646</v>
      </c>
      <c r="G34" s="12">
        <f t="shared" si="9"/>
        <v>9939.7043346774226</v>
      </c>
      <c r="H34" s="12">
        <f t="shared" si="9"/>
        <v>10436.689551411295</v>
      </c>
      <c r="I34" s="12">
        <f t="shared" si="9"/>
        <v>10958.524028981858</v>
      </c>
      <c r="J34" s="12">
        <f t="shared" si="9"/>
        <v>11506.450230430954</v>
      </c>
      <c r="K34" s="12">
        <f t="shared" si="9"/>
        <v>12081.7727419525</v>
      </c>
      <c r="L34" s="13">
        <f t="shared" si="9"/>
        <v>12685.861379050124</v>
      </c>
      <c r="M34" s="12">
        <f t="shared" si="9"/>
        <v>13320.154448002631</v>
      </c>
      <c r="N34" s="12">
        <f t="shared" si="9"/>
        <v>13986.162170402764</v>
      </c>
      <c r="O34" s="12">
        <f t="shared" si="9"/>
        <v>14685.4702789229</v>
      </c>
      <c r="P34" s="12">
        <f t="shared" si="9"/>
        <v>15419.743792869047</v>
      </c>
      <c r="Q34" s="12">
        <f t="shared" si="9"/>
        <v>16190.730982512496</v>
      </c>
      <c r="R34" s="12">
        <f t="shared" si="9"/>
        <v>0</v>
      </c>
      <c r="S34" s="12">
        <f t="shared" si="9"/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2">
        <f t="shared" si="9"/>
        <v>0</v>
      </c>
      <c r="X34" s="12">
        <f t="shared" si="9"/>
        <v>0</v>
      </c>
      <c r="Y34" s="12">
        <f t="shared" si="9"/>
        <v>0</v>
      </c>
      <c r="Z34" s="12">
        <f t="shared" si="9"/>
        <v>0</v>
      </c>
      <c r="AA34" s="12">
        <f t="shared" si="9"/>
        <v>0</v>
      </c>
      <c r="AB34" s="3"/>
    </row>
    <row r="35" spans="1:28" x14ac:dyDescent="0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/>
    </row>
    <row r="36" spans="1:28" x14ac:dyDescent="0.5">
      <c r="A36" s="9" t="s">
        <v>66</v>
      </c>
      <c r="B36" s="10" t="str">
        <f>"01. Jan."&amp; B8</f>
        <v>01. Jan.2014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"/>
    </row>
    <row r="37" spans="1:28" x14ac:dyDescent="0.5">
      <c r="A37" s="7" t="s">
        <v>48</v>
      </c>
      <c r="B37" s="6">
        <f>SUM(C37:AA37)</f>
        <v>78940.867776294806</v>
      </c>
      <c r="C37" s="4">
        <f t="shared" ref="C37:AA37" si="10">IF(C34&gt;0,C34/(1+$B$10)^(C23-$B$23+1),IF(AND(C32&lt;0,D25=0),C32/(1+$B$10)^(C23-$B$23+1),0))</f>
        <v>0</v>
      </c>
      <c r="D37" s="4">
        <f t="shared" si="10"/>
        <v>0</v>
      </c>
      <c r="E37" s="4">
        <f t="shared" si="10"/>
        <v>7089.9223970087223</v>
      </c>
      <c r="F37" s="4">
        <f t="shared" si="10"/>
        <v>6958.075632341157</v>
      </c>
      <c r="G37" s="4">
        <f t="shared" si="10"/>
        <v>6764.7957536650129</v>
      </c>
      <c r="H37" s="4">
        <f t="shared" si="10"/>
        <v>6576.8847605076517</v>
      </c>
      <c r="I37" s="4">
        <f t="shared" si="10"/>
        <v>6394.1935171602154</v>
      </c>
      <c r="J37" s="4">
        <f t="shared" si="10"/>
        <v>6216.5770305724336</v>
      </c>
      <c r="K37" s="5">
        <f t="shared" si="10"/>
        <v>6043.8943352787537</v>
      </c>
      <c r="L37" s="4">
        <f t="shared" si="10"/>
        <v>5876.0083815210101</v>
      </c>
      <c r="M37" s="4">
        <f t="shared" si="10"/>
        <v>5712.7859264787603</v>
      </c>
      <c r="N37" s="4">
        <f t="shared" si="10"/>
        <v>5554.0974285210168</v>
      </c>
      <c r="O37" s="4">
        <f t="shared" si="10"/>
        <v>5399.8169443954321</v>
      </c>
      <c r="P37" s="4">
        <f t="shared" si="10"/>
        <v>5249.8220292733367</v>
      </c>
      <c r="Q37" s="4">
        <f t="shared" si="10"/>
        <v>5103.9936395712975</v>
      </c>
      <c r="R37" s="4">
        <f t="shared" si="10"/>
        <v>0</v>
      </c>
      <c r="S37" s="4">
        <f t="shared" si="10"/>
        <v>0</v>
      </c>
      <c r="T37" s="4">
        <f t="shared" si="10"/>
        <v>0</v>
      </c>
      <c r="U37" s="4">
        <f t="shared" si="10"/>
        <v>0</v>
      </c>
      <c r="V37" s="4">
        <f t="shared" si="10"/>
        <v>0</v>
      </c>
      <c r="W37" s="4">
        <f t="shared" si="10"/>
        <v>0</v>
      </c>
      <c r="X37" s="4">
        <f t="shared" si="10"/>
        <v>0</v>
      </c>
      <c r="Y37" s="4">
        <f t="shared" si="10"/>
        <v>0</v>
      </c>
      <c r="Z37" s="4">
        <f t="shared" si="10"/>
        <v>0</v>
      </c>
      <c r="AA37" s="4">
        <f t="shared" si="10"/>
        <v>0</v>
      </c>
      <c r="AB37" s="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4" workbookViewId="0">
      <selection activeCell="B24" sqref="B24"/>
    </sheetView>
  </sheetViews>
  <sheetFormatPr baseColWidth="10" defaultRowHeight="14.35" x14ac:dyDescent="0.5"/>
  <cols>
    <col min="1" max="1" width="40.29296875" customWidth="1"/>
    <col min="2" max="2" width="25.41015625" customWidth="1"/>
    <col min="3" max="3" width="16.41015625" customWidth="1"/>
  </cols>
  <sheetData>
    <row r="1" spans="1:28" ht="18" x14ac:dyDescent="0.6">
      <c r="A1" s="50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5">
      <c r="A2" s="52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5">
      <c r="A3" s="52"/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5">
      <c r="A4" s="52"/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5">
      <c r="A5" s="52"/>
      <c r="B5" s="54"/>
      <c r="C5" s="3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5">
      <c r="A6" s="55"/>
      <c r="B6" s="56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x14ac:dyDescent="0.6">
      <c r="A7" s="2" t="s">
        <v>37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5">
      <c r="A8" s="39" t="s">
        <v>38</v>
      </c>
      <c r="B8" s="49">
        <f>Referenz!B8</f>
        <v>2014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5">
      <c r="A9" s="39" t="s">
        <v>39</v>
      </c>
      <c r="B9" s="49">
        <f>Referenz!B9</f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5">
      <c r="A10" s="39" t="s">
        <v>40</v>
      </c>
      <c r="B10" s="38">
        <f>Referenz!B10</f>
        <v>0.08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5">
      <c r="A11" s="39" t="s">
        <v>41</v>
      </c>
      <c r="B11" s="40">
        <f>Übersicht!G48</f>
        <v>20000</v>
      </c>
      <c r="C11" s="33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5">
      <c r="A12" s="39" t="s">
        <v>42</v>
      </c>
      <c r="B12" s="40">
        <f>Übersicht!G46*-1</f>
        <v>6500</v>
      </c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5">
      <c r="A13" s="39" t="s">
        <v>43</v>
      </c>
      <c r="B13" s="48">
        <v>0.05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5">
      <c r="A14" s="2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x14ac:dyDescent="0.6">
      <c r="A15" s="36" t="s">
        <v>44</v>
      </c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5">
      <c r="A16" s="47" t="s">
        <v>45</v>
      </c>
      <c r="B16" s="46">
        <f>B11/(SUM(C25:AA25)/B9)</f>
        <v>2.1388748127343553</v>
      </c>
      <c r="C16" s="45">
        <f>MIN(C29:AA29)</f>
        <v>2.931449502878074</v>
      </c>
      <c r="D16" s="44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5">
      <c r="A17" s="39" t="s">
        <v>47</v>
      </c>
      <c r="B17" s="43">
        <f>NPER(B10,PMT(B10,B9,-B18-B11),-B11)</f>
        <v>2.6326870418041408</v>
      </c>
      <c r="C17" s="42">
        <f>MAX(C33:AA33)</f>
        <v>3.4799589862678908</v>
      </c>
      <c r="D17" s="41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5">
      <c r="A18" s="39" t="s">
        <v>48</v>
      </c>
      <c r="B18" s="40">
        <f>B37</f>
        <v>54670.946181157386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5">
      <c r="A19" s="39" t="s">
        <v>49</v>
      </c>
      <c r="B19" s="38">
        <f>IRR(B25:AA25,0.1)</f>
        <v>0.3689177761358895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5">
      <c r="A20" s="27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x14ac:dyDescent="0.6">
      <c r="A21" s="36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3" t="s">
        <v>51</v>
      </c>
    </row>
    <row r="22" spans="1:28" x14ac:dyDescent="0.5">
      <c r="A22" s="9" t="s">
        <v>52</v>
      </c>
      <c r="B22" s="32" t="s">
        <v>53</v>
      </c>
      <c r="C22" s="30" t="s">
        <v>54</v>
      </c>
      <c r="D22" s="30" t="s">
        <v>54</v>
      </c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s="30" t="s">
        <v>54</v>
      </c>
      <c r="L22" s="31" t="s">
        <v>54</v>
      </c>
      <c r="M22" s="30" t="s">
        <v>54</v>
      </c>
      <c r="N22" s="30" t="s">
        <v>54</v>
      </c>
      <c r="O22" s="30" t="s">
        <v>54</v>
      </c>
      <c r="P22" s="30" t="s">
        <v>54</v>
      </c>
      <c r="Q22" s="30" t="s">
        <v>54</v>
      </c>
      <c r="R22" s="30" t="s">
        <v>54</v>
      </c>
      <c r="S22" s="30" t="s">
        <v>54</v>
      </c>
      <c r="T22" s="30" t="s">
        <v>54</v>
      </c>
      <c r="U22" s="30" t="s">
        <v>54</v>
      </c>
      <c r="V22" s="30" t="s">
        <v>54</v>
      </c>
      <c r="W22" s="30" t="s">
        <v>54</v>
      </c>
      <c r="X22" s="30" t="s">
        <v>54</v>
      </c>
      <c r="Y22" s="30" t="s">
        <v>54</v>
      </c>
      <c r="Z22" s="30" t="s">
        <v>54</v>
      </c>
      <c r="AA22" s="30" t="s">
        <v>54</v>
      </c>
      <c r="AB22" s="29">
        <f>AA23-C23</f>
        <v>24</v>
      </c>
    </row>
    <row r="23" spans="1:28" x14ac:dyDescent="0.5">
      <c r="A23" s="27"/>
      <c r="B23" s="28">
        <f>B8</f>
        <v>2014</v>
      </c>
      <c r="C23" s="26">
        <f>B23</f>
        <v>2014</v>
      </c>
      <c r="D23" s="26">
        <f t="shared" ref="D23:AA23" si="0">C23+1</f>
        <v>2015</v>
      </c>
      <c r="E23" s="26">
        <f t="shared" si="0"/>
        <v>2016</v>
      </c>
      <c r="F23" s="26">
        <f t="shared" si="0"/>
        <v>2017</v>
      </c>
      <c r="G23" s="26">
        <f t="shared" si="0"/>
        <v>2018</v>
      </c>
      <c r="H23" s="26">
        <f t="shared" si="0"/>
        <v>2019</v>
      </c>
      <c r="I23" s="26">
        <f t="shared" si="0"/>
        <v>2020</v>
      </c>
      <c r="J23" s="26">
        <f t="shared" si="0"/>
        <v>2021</v>
      </c>
      <c r="K23" s="26">
        <f t="shared" si="0"/>
        <v>2022</v>
      </c>
      <c r="L23" s="27">
        <f t="shared" si="0"/>
        <v>2023</v>
      </c>
      <c r="M23" s="26">
        <f t="shared" si="0"/>
        <v>2024</v>
      </c>
      <c r="N23" s="26">
        <f t="shared" si="0"/>
        <v>2025</v>
      </c>
      <c r="O23" s="26">
        <f t="shared" si="0"/>
        <v>2026</v>
      </c>
      <c r="P23" s="26">
        <f t="shared" si="0"/>
        <v>2027</v>
      </c>
      <c r="Q23" s="26">
        <f t="shared" si="0"/>
        <v>2028</v>
      </c>
      <c r="R23" s="26">
        <f t="shared" si="0"/>
        <v>2029</v>
      </c>
      <c r="S23" s="26">
        <f t="shared" si="0"/>
        <v>2030</v>
      </c>
      <c r="T23" s="26">
        <f t="shared" si="0"/>
        <v>2031</v>
      </c>
      <c r="U23" s="26">
        <f t="shared" si="0"/>
        <v>2032</v>
      </c>
      <c r="V23" s="26">
        <f t="shared" si="0"/>
        <v>2033</v>
      </c>
      <c r="W23" s="26">
        <f t="shared" si="0"/>
        <v>2034</v>
      </c>
      <c r="X23" s="26">
        <f t="shared" si="0"/>
        <v>2035</v>
      </c>
      <c r="Y23" s="26">
        <f t="shared" si="0"/>
        <v>2036</v>
      </c>
      <c r="Z23" s="26">
        <f t="shared" si="0"/>
        <v>2037</v>
      </c>
      <c r="AA23" s="26">
        <f t="shared" si="0"/>
        <v>2038</v>
      </c>
      <c r="AB23" s="3"/>
    </row>
    <row r="24" spans="1:28" x14ac:dyDescent="0.5">
      <c r="A24" s="21" t="s">
        <v>55</v>
      </c>
      <c r="B24" s="17">
        <f>B11</f>
        <v>20000</v>
      </c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"/>
    </row>
    <row r="25" spans="1:28" x14ac:dyDescent="0.5">
      <c r="A25" s="21" t="s">
        <v>56</v>
      </c>
      <c r="B25" s="23">
        <f>B32</f>
        <v>-20000</v>
      </c>
      <c r="C25" s="19">
        <f t="shared" ref="C25:AA25" si="1">IF(C23&lt;=$B$23+$B$9-1,$B$12*(1+$B$13)^(C23-$B$23),0)</f>
        <v>6500</v>
      </c>
      <c r="D25" s="19">
        <f t="shared" si="1"/>
        <v>6825</v>
      </c>
      <c r="E25" s="19">
        <f t="shared" si="1"/>
        <v>7166.25</v>
      </c>
      <c r="F25" s="19">
        <f t="shared" si="1"/>
        <v>7524.5625000000009</v>
      </c>
      <c r="G25" s="19">
        <f t="shared" si="1"/>
        <v>7900.7906249999996</v>
      </c>
      <c r="H25" s="19">
        <f t="shared" si="1"/>
        <v>8295.8301562500001</v>
      </c>
      <c r="I25" s="19">
        <f t="shared" si="1"/>
        <v>8710.6216640625007</v>
      </c>
      <c r="J25" s="19">
        <f t="shared" si="1"/>
        <v>9146.1527472656271</v>
      </c>
      <c r="K25" s="19">
        <f t="shared" si="1"/>
        <v>9603.4603846289065</v>
      </c>
      <c r="L25" s="20">
        <f t="shared" si="1"/>
        <v>10083.633403860353</v>
      </c>
      <c r="M25" s="19">
        <f t="shared" si="1"/>
        <v>10587.815074053371</v>
      </c>
      <c r="N25" s="19">
        <f t="shared" si="1"/>
        <v>11117.205827756039</v>
      </c>
      <c r="O25" s="19">
        <f t="shared" si="1"/>
        <v>11673.066119143839</v>
      </c>
      <c r="P25" s="19">
        <f t="shared" si="1"/>
        <v>12256.719425101033</v>
      </c>
      <c r="Q25" s="19">
        <f t="shared" si="1"/>
        <v>12869.555396356083</v>
      </c>
      <c r="R25" s="19">
        <f t="shared" si="1"/>
        <v>0</v>
      </c>
      <c r="S25" s="19">
        <f t="shared" si="1"/>
        <v>0</v>
      </c>
      <c r="T25" s="19">
        <f t="shared" si="1"/>
        <v>0</v>
      </c>
      <c r="U25" s="19">
        <f t="shared" si="1"/>
        <v>0</v>
      </c>
      <c r="V25" s="19">
        <f t="shared" si="1"/>
        <v>0</v>
      </c>
      <c r="W25" s="19">
        <f t="shared" si="1"/>
        <v>0</v>
      </c>
      <c r="X25" s="19">
        <f t="shared" si="1"/>
        <v>0</v>
      </c>
      <c r="Y25" s="19">
        <f t="shared" si="1"/>
        <v>0</v>
      </c>
      <c r="Z25" s="19">
        <f t="shared" si="1"/>
        <v>0</v>
      </c>
      <c r="AA25" s="19">
        <f t="shared" si="1"/>
        <v>0</v>
      </c>
      <c r="AB25" s="3"/>
    </row>
    <row r="26" spans="1:28" x14ac:dyDescent="0.5">
      <c r="A26" s="18" t="s">
        <v>57</v>
      </c>
      <c r="B26" s="23"/>
      <c r="C26" s="19">
        <f t="shared" ref="C26:AA26" si="2">C25/12</f>
        <v>541.66666666666663</v>
      </c>
      <c r="D26" s="19">
        <f t="shared" si="2"/>
        <v>568.75</v>
      </c>
      <c r="E26" s="19">
        <f t="shared" si="2"/>
        <v>597.1875</v>
      </c>
      <c r="F26" s="19">
        <f t="shared" si="2"/>
        <v>627.04687500000011</v>
      </c>
      <c r="G26" s="19">
        <f t="shared" si="2"/>
        <v>658.39921874999993</v>
      </c>
      <c r="H26" s="19">
        <f t="shared" si="2"/>
        <v>691.31917968749997</v>
      </c>
      <c r="I26" s="19">
        <f t="shared" si="2"/>
        <v>725.8851386718751</v>
      </c>
      <c r="J26" s="19">
        <f t="shared" si="2"/>
        <v>762.17939560546893</v>
      </c>
      <c r="K26" s="19">
        <f t="shared" si="2"/>
        <v>800.28836538574217</v>
      </c>
      <c r="L26" s="19">
        <f t="shared" si="2"/>
        <v>840.30278365502943</v>
      </c>
      <c r="M26" s="19">
        <f t="shared" si="2"/>
        <v>882.31792283778088</v>
      </c>
      <c r="N26" s="19">
        <f t="shared" si="2"/>
        <v>926.43381897966992</v>
      </c>
      <c r="O26" s="19">
        <f t="shared" si="2"/>
        <v>972.75550992865328</v>
      </c>
      <c r="P26" s="19">
        <f t="shared" si="2"/>
        <v>1021.3932854250861</v>
      </c>
      <c r="Q26" s="19">
        <f t="shared" si="2"/>
        <v>1072.4629496963403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9">
        <f t="shared" si="2"/>
        <v>0</v>
      </c>
      <c r="X26" s="19">
        <f t="shared" si="2"/>
        <v>0</v>
      </c>
      <c r="Y26" s="19">
        <f t="shared" si="2"/>
        <v>0</v>
      </c>
      <c r="Z26" s="19">
        <f t="shared" si="2"/>
        <v>0</v>
      </c>
      <c r="AA26" s="19">
        <f t="shared" si="2"/>
        <v>0</v>
      </c>
      <c r="AB26" s="3"/>
    </row>
    <row r="27" spans="1:28" x14ac:dyDescent="0.5">
      <c r="A27" s="18" t="s">
        <v>58</v>
      </c>
      <c r="B27" s="23"/>
      <c r="C27" s="19">
        <f>C25</f>
        <v>6500</v>
      </c>
      <c r="D27" s="19">
        <f t="shared" ref="D27:AA27" si="3">D25+C27</f>
        <v>13325</v>
      </c>
      <c r="E27" s="19">
        <f t="shared" si="3"/>
        <v>20491.25</v>
      </c>
      <c r="F27" s="19">
        <f t="shared" si="3"/>
        <v>28015.8125</v>
      </c>
      <c r="G27" s="19">
        <f t="shared" si="3"/>
        <v>35916.603125000001</v>
      </c>
      <c r="H27" s="19">
        <f t="shared" si="3"/>
        <v>44212.43328125</v>
      </c>
      <c r="I27" s="19">
        <f t="shared" si="3"/>
        <v>52923.054945312499</v>
      </c>
      <c r="J27" s="19">
        <f t="shared" si="3"/>
        <v>62069.207692578129</v>
      </c>
      <c r="K27" s="19">
        <f t="shared" si="3"/>
        <v>71672.668077207039</v>
      </c>
      <c r="L27" s="19">
        <f t="shared" si="3"/>
        <v>81756.301481067392</v>
      </c>
      <c r="M27" s="19">
        <f t="shared" si="3"/>
        <v>92344.116555120767</v>
      </c>
      <c r="N27" s="19">
        <f t="shared" si="3"/>
        <v>103461.32238287681</v>
      </c>
      <c r="O27" s="19">
        <f t="shared" si="3"/>
        <v>115134.38850202065</v>
      </c>
      <c r="P27" s="19">
        <f t="shared" si="3"/>
        <v>127391.10792712169</v>
      </c>
      <c r="Q27" s="19">
        <f t="shared" si="3"/>
        <v>140260.66332347778</v>
      </c>
      <c r="R27" s="19">
        <f t="shared" si="3"/>
        <v>140260.66332347778</v>
      </c>
      <c r="S27" s="19">
        <f t="shared" si="3"/>
        <v>140260.66332347778</v>
      </c>
      <c r="T27" s="19">
        <f t="shared" si="3"/>
        <v>140260.66332347778</v>
      </c>
      <c r="U27" s="19">
        <f t="shared" si="3"/>
        <v>140260.66332347778</v>
      </c>
      <c r="V27" s="19">
        <f t="shared" si="3"/>
        <v>140260.66332347778</v>
      </c>
      <c r="W27" s="19">
        <f t="shared" si="3"/>
        <v>140260.66332347778</v>
      </c>
      <c r="X27" s="19">
        <f t="shared" si="3"/>
        <v>140260.66332347778</v>
      </c>
      <c r="Y27" s="19">
        <f t="shared" si="3"/>
        <v>140260.66332347778</v>
      </c>
      <c r="Z27" s="19">
        <f t="shared" si="3"/>
        <v>140260.66332347778</v>
      </c>
      <c r="AA27" s="19">
        <f t="shared" si="3"/>
        <v>140260.66332347778</v>
      </c>
      <c r="AB27" s="3"/>
    </row>
    <row r="28" spans="1:28" x14ac:dyDescent="0.5">
      <c r="A28" s="18" t="s">
        <v>59</v>
      </c>
      <c r="B28" s="23"/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24">
        <v>10</v>
      </c>
      <c r="M28" s="24">
        <v>11</v>
      </c>
      <c r="N28" s="24">
        <v>12</v>
      </c>
      <c r="O28" s="24">
        <v>13</v>
      </c>
      <c r="P28" s="24">
        <v>14</v>
      </c>
      <c r="Q28" s="24">
        <v>15</v>
      </c>
      <c r="R28" s="24">
        <v>16</v>
      </c>
      <c r="S28" s="24">
        <v>17</v>
      </c>
      <c r="T28" s="24">
        <v>18</v>
      </c>
      <c r="U28" s="24">
        <v>19</v>
      </c>
      <c r="V28" s="24">
        <v>20</v>
      </c>
      <c r="W28" s="24">
        <v>21</v>
      </c>
      <c r="X28" s="24">
        <v>22</v>
      </c>
      <c r="Y28" s="24">
        <v>23</v>
      </c>
      <c r="Z28" s="24">
        <v>24</v>
      </c>
      <c r="AA28" s="24">
        <v>25</v>
      </c>
      <c r="AB28" s="3"/>
    </row>
    <row r="29" spans="1:28" x14ac:dyDescent="0.5">
      <c r="A29" s="18" t="s">
        <v>60</v>
      </c>
      <c r="B29" s="23"/>
      <c r="C29" s="16" t="str">
        <f t="shared" ref="C29:AA29" si="4">IF(AND(C27&gt;=$B$11,B27&lt;=$B$11),B28+($B$11-B27)/C25,"-")</f>
        <v>-</v>
      </c>
      <c r="D29" s="16" t="str">
        <f t="shared" si="4"/>
        <v>-</v>
      </c>
      <c r="E29" s="16">
        <f t="shared" si="4"/>
        <v>2.931449502878074</v>
      </c>
      <c r="F29" s="16" t="str">
        <f t="shared" si="4"/>
        <v>-</v>
      </c>
      <c r="G29" s="16" t="str">
        <f t="shared" si="4"/>
        <v>-</v>
      </c>
      <c r="H29" s="16" t="str">
        <f t="shared" si="4"/>
        <v>-</v>
      </c>
      <c r="I29" s="16" t="str">
        <f t="shared" si="4"/>
        <v>-</v>
      </c>
      <c r="J29" s="16" t="str">
        <f t="shared" si="4"/>
        <v>-</v>
      </c>
      <c r="K29" s="16" t="str">
        <f t="shared" si="4"/>
        <v>-</v>
      </c>
      <c r="L29" s="16" t="str">
        <f t="shared" si="4"/>
        <v>-</v>
      </c>
      <c r="M29" s="16" t="str">
        <f t="shared" si="4"/>
        <v>-</v>
      </c>
      <c r="N29" s="16" t="str">
        <f t="shared" si="4"/>
        <v>-</v>
      </c>
      <c r="O29" s="16" t="str">
        <f t="shared" si="4"/>
        <v>-</v>
      </c>
      <c r="P29" s="16" t="str">
        <f t="shared" si="4"/>
        <v>-</v>
      </c>
      <c r="Q29" s="16" t="str">
        <f t="shared" si="4"/>
        <v>-</v>
      </c>
      <c r="R29" s="16" t="str">
        <f t="shared" si="4"/>
        <v>-</v>
      </c>
      <c r="S29" s="16" t="str">
        <f t="shared" si="4"/>
        <v>-</v>
      </c>
      <c r="T29" s="16" t="str">
        <f t="shared" si="4"/>
        <v>-</v>
      </c>
      <c r="U29" s="16" t="str">
        <f t="shared" si="4"/>
        <v>-</v>
      </c>
      <c r="V29" s="16" t="str">
        <f t="shared" si="4"/>
        <v>-</v>
      </c>
      <c r="W29" s="16" t="str">
        <f t="shared" si="4"/>
        <v>-</v>
      </c>
      <c r="X29" s="16" t="str">
        <f t="shared" si="4"/>
        <v>-</v>
      </c>
      <c r="Y29" s="16" t="str">
        <f t="shared" si="4"/>
        <v>-</v>
      </c>
      <c r="Z29" s="16" t="str">
        <f t="shared" si="4"/>
        <v>-</v>
      </c>
      <c r="AA29" s="16" t="str">
        <f t="shared" si="4"/>
        <v>-</v>
      </c>
      <c r="AB29" s="3"/>
    </row>
    <row r="30" spans="1:28" x14ac:dyDescent="0.5">
      <c r="A30" s="21" t="s">
        <v>61</v>
      </c>
      <c r="B30" s="22"/>
      <c r="C30" s="19">
        <f t="shared" ref="C30:AA30" si="5">IF(AND(B32&lt;0,C25&gt;0),B32*$B$10,0)</f>
        <v>-1600</v>
      </c>
      <c r="D30" s="19">
        <f t="shared" si="5"/>
        <v>-1208</v>
      </c>
      <c r="E30" s="19">
        <f t="shared" si="5"/>
        <v>-758.64</v>
      </c>
      <c r="F30" s="19">
        <f t="shared" si="5"/>
        <v>-246.03120000000004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20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5"/>
        <v>0</v>
      </c>
      <c r="W30" s="19">
        <f t="shared" si="5"/>
        <v>0</v>
      </c>
      <c r="X30" s="19">
        <f t="shared" si="5"/>
        <v>0</v>
      </c>
      <c r="Y30" s="19">
        <f t="shared" si="5"/>
        <v>0</v>
      </c>
      <c r="Z30" s="19">
        <f t="shared" si="5"/>
        <v>0</v>
      </c>
      <c r="AA30" s="19">
        <f t="shared" si="5"/>
        <v>0</v>
      </c>
      <c r="AB30" s="3"/>
    </row>
    <row r="31" spans="1:28" x14ac:dyDescent="0.5">
      <c r="A31" s="21" t="s">
        <v>62</v>
      </c>
      <c r="B31" s="22"/>
      <c r="C31" s="19">
        <f t="shared" ref="C31:AA31" si="6">IF(B32&lt;0,IF(B32&lt;-C25-C30,-C25-C30,B32),0)</f>
        <v>-4900</v>
      </c>
      <c r="D31" s="19">
        <f t="shared" si="6"/>
        <v>-5617</v>
      </c>
      <c r="E31" s="19">
        <f t="shared" si="6"/>
        <v>-6407.61</v>
      </c>
      <c r="F31" s="19">
        <f t="shared" si="6"/>
        <v>-3075.3900000000003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20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</v>
      </c>
      <c r="Y31" s="19">
        <f t="shared" si="6"/>
        <v>0</v>
      </c>
      <c r="Z31" s="19">
        <f t="shared" si="6"/>
        <v>0</v>
      </c>
      <c r="AA31" s="19">
        <f t="shared" si="6"/>
        <v>0</v>
      </c>
      <c r="AB31" s="3"/>
    </row>
    <row r="32" spans="1:28" x14ac:dyDescent="0.5">
      <c r="A32" s="21" t="s">
        <v>63</v>
      </c>
      <c r="B32" s="17">
        <f>-B24</f>
        <v>-20000</v>
      </c>
      <c r="C32" s="19">
        <f t="shared" ref="C32:AA32" si="7">IF(AND(B32-C31&lt;0,C25&gt;0),B32-C31,0)</f>
        <v>-15100</v>
      </c>
      <c r="D32" s="19">
        <f t="shared" si="7"/>
        <v>-9483</v>
      </c>
      <c r="E32" s="19">
        <f t="shared" si="7"/>
        <v>-3075.3900000000003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20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0</v>
      </c>
      <c r="U32" s="19">
        <f t="shared" si="7"/>
        <v>0</v>
      </c>
      <c r="V32" s="19">
        <f t="shared" si="7"/>
        <v>0</v>
      </c>
      <c r="W32" s="19">
        <f t="shared" si="7"/>
        <v>0</v>
      </c>
      <c r="X32" s="19">
        <f t="shared" si="7"/>
        <v>0</v>
      </c>
      <c r="Y32" s="19">
        <f t="shared" si="7"/>
        <v>0</v>
      </c>
      <c r="Z32" s="19">
        <f t="shared" si="7"/>
        <v>0</v>
      </c>
      <c r="AA32" s="19">
        <f t="shared" si="7"/>
        <v>0</v>
      </c>
      <c r="AB32" s="3"/>
    </row>
    <row r="33" spans="1:28" x14ac:dyDescent="0.5">
      <c r="A33" s="18" t="s">
        <v>64</v>
      </c>
      <c r="B33" s="17"/>
      <c r="C33" s="16" t="str">
        <f t="shared" ref="C33:AA33" si="8">IF(AND(C32&gt;=0,B32&lt;0),B28+C31/B31,"-")</f>
        <v>-</v>
      </c>
      <c r="D33" s="16" t="str">
        <f t="shared" si="8"/>
        <v>-</v>
      </c>
      <c r="E33" s="16" t="str">
        <f t="shared" si="8"/>
        <v>-</v>
      </c>
      <c r="F33" s="16">
        <f t="shared" si="8"/>
        <v>3.4799589862678908</v>
      </c>
      <c r="G33" s="16" t="str">
        <f t="shared" si="8"/>
        <v>-</v>
      </c>
      <c r="H33" s="16" t="str">
        <f t="shared" si="8"/>
        <v>-</v>
      </c>
      <c r="I33" s="16" t="str">
        <f t="shared" si="8"/>
        <v>-</v>
      </c>
      <c r="J33" s="16" t="str">
        <f t="shared" si="8"/>
        <v>-</v>
      </c>
      <c r="K33" s="16" t="str">
        <f t="shared" si="8"/>
        <v>-</v>
      </c>
      <c r="L33" s="16" t="str">
        <f t="shared" si="8"/>
        <v>-</v>
      </c>
      <c r="M33" s="16" t="str">
        <f t="shared" si="8"/>
        <v>-</v>
      </c>
      <c r="N33" s="16" t="str">
        <f t="shared" si="8"/>
        <v>-</v>
      </c>
      <c r="O33" s="16" t="str">
        <f t="shared" si="8"/>
        <v>-</v>
      </c>
      <c r="P33" s="16" t="str">
        <f t="shared" si="8"/>
        <v>-</v>
      </c>
      <c r="Q33" s="16" t="str">
        <f t="shared" si="8"/>
        <v>-</v>
      </c>
      <c r="R33" s="16" t="str">
        <f t="shared" si="8"/>
        <v>-</v>
      </c>
      <c r="S33" s="16" t="str">
        <f t="shared" si="8"/>
        <v>-</v>
      </c>
      <c r="T33" s="16" t="str">
        <f t="shared" si="8"/>
        <v>-</v>
      </c>
      <c r="U33" s="16" t="str">
        <f t="shared" si="8"/>
        <v>-</v>
      </c>
      <c r="V33" s="16" t="str">
        <f t="shared" si="8"/>
        <v>-</v>
      </c>
      <c r="W33" s="16" t="str">
        <f t="shared" si="8"/>
        <v>-</v>
      </c>
      <c r="X33" s="16" t="str">
        <f t="shared" si="8"/>
        <v>-</v>
      </c>
      <c r="Y33" s="16" t="str">
        <f t="shared" si="8"/>
        <v>-</v>
      </c>
      <c r="Z33" s="16" t="str">
        <f t="shared" si="8"/>
        <v>-</v>
      </c>
      <c r="AA33" s="16" t="str">
        <f t="shared" si="8"/>
        <v>-</v>
      </c>
      <c r="AB33" s="3"/>
    </row>
    <row r="34" spans="1:28" x14ac:dyDescent="0.5">
      <c r="A34" s="15" t="s">
        <v>65</v>
      </c>
      <c r="B34" s="14"/>
      <c r="C34" s="12">
        <f t="shared" ref="C34:AA34" si="9">C25+C30+C31</f>
        <v>0</v>
      </c>
      <c r="D34" s="12">
        <f t="shared" si="9"/>
        <v>0</v>
      </c>
      <c r="E34" s="12">
        <f t="shared" si="9"/>
        <v>0</v>
      </c>
      <c r="F34" s="12">
        <f t="shared" si="9"/>
        <v>4203.1413000000002</v>
      </c>
      <c r="G34" s="12">
        <f t="shared" si="9"/>
        <v>7900.7906249999996</v>
      </c>
      <c r="H34" s="12">
        <f t="shared" si="9"/>
        <v>8295.8301562500001</v>
      </c>
      <c r="I34" s="12">
        <f t="shared" si="9"/>
        <v>8710.6216640625007</v>
      </c>
      <c r="J34" s="12">
        <f t="shared" si="9"/>
        <v>9146.1527472656271</v>
      </c>
      <c r="K34" s="12">
        <f t="shared" si="9"/>
        <v>9603.4603846289065</v>
      </c>
      <c r="L34" s="13">
        <f t="shared" si="9"/>
        <v>10083.633403860353</v>
      </c>
      <c r="M34" s="12">
        <f t="shared" si="9"/>
        <v>10587.815074053371</v>
      </c>
      <c r="N34" s="12">
        <f t="shared" si="9"/>
        <v>11117.205827756039</v>
      </c>
      <c r="O34" s="12">
        <f t="shared" si="9"/>
        <v>11673.066119143839</v>
      </c>
      <c r="P34" s="12">
        <f t="shared" si="9"/>
        <v>12256.719425101033</v>
      </c>
      <c r="Q34" s="12">
        <f t="shared" si="9"/>
        <v>12869.555396356083</v>
      </c>
      <c r="R34" s="12">
        <f t="shared" si="9"/>
        <v>0</v>
      </c>
      <c r="S34" s="12">
        <f t="shared" si="9"/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2">
        <f t="shared" si="9"/>
        <v>0</v>
      </c>
      <c r="X34" s="12">
        <f t="shared" si="9"/>
        <v>0</v>
      </c>
      <c r="Y34" s="12">
        <f t="shared" si="9"/>
        <v>0</v>
      </c>
      <c r="Z34" s="12">
        <f t="shared" si="9"/>
        <v>0</v>
      </c>
      <c r="AA34" s="12">
        <f t="shared" si="9"/>
        <v>0</v>
      </c>
      <c r="AB34" s="3"/>
    </row>
    <row r="35" spans="1:28" x14ac:dyDescent="0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/>
    </row>
    <row r="36" spans="1:28" x14ac:dyDescent="0.5">
      <c r="A36" s="9" t="s">
        <v>66</v>
      </c>
      <c r="B36" s="10" t="str">
        <f>"01. Jan."&amp; B8</f>
        <v>01. Jan.2014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"/>
    </row>
    <row r="37" spans="1:28" x14ac:dyDescent="0.5">
      <c r="A37" s="7" t="s">
        <v>48</v>
      </c>
      <c r="B37" s="6">
        <f>SUM(C37:AA37)</f>
        <v>54670.946181157386</v>
      </c>
      <c r="C37" s="4">
        <f t="shared" ref="C37:AA37" si="10">IF(C34&gt;0,C34/(1+$B$10)^(C23-$B$23+1),IF(AND(C32&lt;0,D25=0),C32/(1+$B$10)^(C23-$B$23+1),0))</f>
        <v>0</v>
      </c>
      <c r="D37" s="4">
        <f t="shared" si="10"/>
        <v>0</v>
      </c>
      <c r="E37" s="4">
        <f t="shared" si="10"/>
        <v>0</v>
      </c>
      <c r="F37" s="4">
        <f t="shared" si="10"/>
        <v>3089.4343310216932</v>
      </c>
      <c r="G37" s="4">
        <f t="shared" si="10"/>
        <v>5377.1453426568032</v>
      </c>
      <c r="H37" s="4">
        <f t="shared" si="10"/>
        <v>5227.7801942496699</v>
      </c>
      <c r="I37" s="4">
        <f t="shared" si="10"/>
        <v>5082.5640777427343</v>
      </c>
      <c r="J37" s="4">
        <f t="shared" si="10"/>
        <v>4941.3817422498814</v>
      </c>
      <c r="K37" s="5">
        <f t="shared" si="10"/>
        <v>4804.1211382984948</v>
      </c>
      <c r="L37" s="4">
        <f t="shared" si="10"/>
        <v>4670.6733289013146</v>
      </c>
      <c r="M37" s="4">
        <f t="shared" si="10"/>
        <v>4540.9324030985008</v>
      </c>
      <c r="N37" s="4">
        <f t="shared" si="10"/>
        <v>4414.7953919013189</v>
      </c>
      <c r="O37" s="4">
        <f t="shared" si="10"/>
        <v>4292.1621865707266</v>
      </c>
      <c r="P37" s="4">
        <f t="shared" si="10"/>
        <v>4172.935459165984</v>
      </c>
      <c r="Q37" s="4">
        <f t="shared" si="10"/>
        <v>4057.0205853002612</v>
      </c>
      <c r="R37" s="4">
        <f t="shared" si="10"/>
        <v>0</v>
      </c>
      <c r="S37" s="4">
        <f t="shared" si="10"/>
        <v>0</v>
      </c>
      <c r="T37" s="4">
        <f t="shared" si="10"/>
        <v>0</v>
      </c>
      <c r="U37" s="4">
        <f t="shared" si="10"/>
        <v>0</v>
      </c>
      <c r="V37" s="4">
        <f t="shared" si="10"/>
        <v>0</v>
      </c>
      <c r="W37" s="4">
        <f t="shared" si="10"/>
        <v>0</v>
      </c>
      <c r="X37" s="4">
        <f t="shared" si="10"/>
        <v>0</v>
      </c>
      <c r="Y37" s="4">
        <f t="shared" si="10"/>
        <v>0</v>
      </c>
      <c r="Z37" s="4">
        <f t="shared" si="10"/>
        <v>0</v>
      </c>
      <c r="AA37" s="4">
        <f t="shared" si="10"/>
        <v>0</v>
      </c>
      <c r="AB37" s="3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opLeftCell="A4" workbookViewId="0">
      <selection activeCell="B19" sqref="B19"/>
    </sheetView>
  </sheetViews>
  <sheetFormatPr baseColWidth="10" defaultRowHeight="14.35" x14ac:dyDescent="0.5"/>
  <cols>
    <col min="1" max="1" width="40.29296875" customWidth="1"/>
    <col min="2" max="2" width="25.41015625" customWidth="1"/>
    <col min="3" max="3" width="16.41015625" customWidth="1"/>
  </cols>
  <sheetData>
    <row r="1" spans="1:28" ht="18" x14ac:dyDescent="0.6">
      <c r="A1" s="50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5">
      <c r="A2" s="52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5">
      <c r="A3" s="52"/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5">
      <c r="A4" s="52"/>
      <c r="B4" s="5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5">
      <c r="A5" s="52"/>
      <c r="B5" s="54"/>
      <c r="C5" s="33"/>
      <c r="D5" s="3"/>
      <c r="E5" s="3"/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5">
      <c r="A6" s="55"/>
      <c r="B6" s="56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x14ac:dyDescent="0.6">
      <c r="A7" s="2" t="s">
        <v>37</v>
      </c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5">
      <c r="A8" s="39" t="s">
        <v>38</v>
      </c>
      <c r="B8" s="49">
        <f>Referenz!B8</f>
        <v>2014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5">
      <c r="A9" s="39" t="s">
        <v>39</v>
      </c>
      <c r="B9" s="49">
        <f>Referenz!B9</f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5">
      <c r="A10" s="39" t="s">
        <v>40</v>
      </c>
      <c r="B10" s="38">
        <f>Referenz!B10</f>
        <v>0.08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5">
      <c r="A11" s="39" t="s">
        <v>41</v>
      </c>
      <c r="B11" s="40">
        <f>Übersicht!H48</f>
        <v>10000</v>
      </c>
      <c r="C11" s="33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5">
      <c r="A12" s="39" t="s">
        <v>42</v>
      </c>
      <c r="B12" s="40">
        <f>Übersicht!H46*-1</f>
        <v>-3900</v>
      </c>
      <c r="C12" s="3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5">
      <c r="A13" s="39" t="s">
        <v>43</v>
      </c>
      <c r="B13" s="48">
        <v>0.05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5">
      <c r="A14" s="27"/>
      <c r="B14" s="3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8" x14ac:dyDescent="0.6">
      <c r="A15" s="36" t="s">
        <v>44</v>
      </c>
      <c r="B15" s="3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5">
      <c r="A16" s="47" t="s">
        <v>45</v>
      </c>
      <c r="B16" s="46">
        <f>B11/(SUM(C25:AA25)/B9)</f>
        <v>-1.7823956772786298</v>
      </c>
      <c r="C16" s="45">
        <f>MIN(C29:AA29)</f>
        <v>0</v>
      </c>
      <c r="D16" s="44" t="s">
        <v>46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5">
      <c r="A17" s="39" t="s">
        <v>47</v>
      </c>
      <c r="B17" s="43">
        <f>NPER(B10,PMT(B10,B9,-B18-B11),-B11)</f>
        <v>14.999999999999984</v>
      </c>
      <c r="C17" s="42" t="e">
        <f>MAX(C33:AA33)</f>
        <v>#DIV/0!</v>
      </c>
      <c r="D17" s="41" t="s">
        <v>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5">
      <c r="A18" s="39" t="s">
        <v>48</v>
      </c>
      <c r="B18" s="40">
        <f>B37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5">
      <c r="A19" s="39" t="s">
        <v>49</v>
      </c>
      <c r="B19" s="38" t="e">
        <f>IRR(B25:AA25,0.1)</f>
        <v>#NUM!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5">
      <c r="A20" s="27"/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" x14ac:dyDescent="0.6">
      <c r="A21" s="36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3" t="s">
        <v>51</v>
      </c>
    </row>
    <row r="22" spans="1:28" x14ac:dyDescent="0.5">
      <c r="A22" s="9" t="s">
        <v>52</v>
      </c>
      <c r="B22" s="32" t="s">
        <v>53</v>
      </c>
      <c r="C22" s="30" t="s">
        <v>54</v>
      </c>
      <c r="D22" s="30" t="s">
        <v>54</v>
      </c>
      <c r="E22" s="30" t="s">
        <v>54</v>
      </c>
      <c r="F22" s="30" t="s">
        <v>54</v>
      </c>
      <c r="G22" s="30" t="s">
        <v>54</v>
      </c>
      <c r="H22" s="30" t="s">
        <v>54</v>
      </c>
      <c r="I22" s="30" t="s">
        <v>54</v>
      </c>
      <c r="J22" s="30" t="s">
        <v>54</v>
      </c>
      <c r="K22" s="30" t="s">
        <v>54</v>
      </c>
      <c r="L22" s="31" t="s">
        <v>54</v>
      </c>
      <c r="M22" s="30" t="s">
        <v>54</v>
      </c>
      <c r="N22" s="30" t="s">
        <v>54</v>
      </c>
      <c r="O22" s="30" t="s">
        <v>54</v>
      </c>
      <c r="P22" s="30" t="s">
        <v>54</v>
      </c>
      <c r="Q22" s="30" t="s">
        <v>54</v>
      </c>
      <c r="R22" s="30" t="s">
        <v>54</v>
      </c>
      <c r="S22" s="30" t="s">
        <v>54</v>
      </c>
      <c r="T22" s="30" t="s">
        <v>54</v>
      </c>
      <c r="U22" s="30" t="s">
        <v>54</v>
      </c>
      <c r="V22" s="30" t="s">
        <v>54</v>
      </c>
      <c r="W22" s="30" t="s">
        <v>54</v>
      </c>
      <c r="X22" s="30" t="s">
        <v>54</v>
      </c>
      <c r="Y22" s="30" t="s">
        <v>54</v>
      </c>
      <c r="Z22" s="30" t="s">
        <v>54</v>
      </c>
      <c r="AA22" s="30" t="s">
        <v>54</v>
      </c>
      <c r="AB22" s="29">
        <f>AA23-C23</f>
        <v>24</v>
      </c>
    </row>
    <row r="23" spans="1:28" x14ac:dyDescent="0.5">
      <c r="A23" s="27"/>
      <c r="B23" s="28">
        <f>B8</f>
        <v>2014</v>
      </c>
      <c r="C23" s="26">
        <f>B23</f>
        <v>2014</v>
      </c>
      <c r="D23" s="26">
        <f t="shared" ref="D23:AA23" si="0">C23+1</f>
        <v>2015</v>
      </c>
      <c r="E23" s="26">
        <f t="shared" si="0"/>
        <v>2016</v>
      </c>
      <c r="F23" s="26">
        <f t="shared" si="0"/>
        <v>2017</v>
      </c>
      <c r="G23" s="26">
        <f t="shared" si="0"/>
        <v>2018</v>
      </c>
      <c r="H23" s="26">
        <f t="shared" si="0"/>
        <v>2019</v>
      </c>
      <c r="I23" s="26">
        <f t="shared" si="0"/>
        <v>2020</v>
      </c>
      <c r="J23" s="26">
        <f t="shared" si="0"/>
        <v>2021</v>
      </c>
      <c r="K23" s="26">
        <f t="shared" si="0"/>
        <v>2022</v>
      </c>
      <c r="L23" s="27">
        <f t="shared" si="0"/>
        <v>2023</v>
      </c>
      <c r="M23" s="26">
        <f t="shared" si="0"/>
        <v>2024</v>
      </c>
      <c r="N23" s="26">
        <f t="shared" si="0"/>
        <v>2025</v>
      </c>
      <c r="O23" s="26">
        <f t="shared" si="0"/>
        <v>2026</v>
      </c>
      <c r="P23" s="26">
        <f t="shared" si="0"/>
        <v>2027</v>
      </c>
      <c r="Q23" s="26">
        <f t="shared" si="0"/>
        <v>2028</v>
      </c>
      <c r="R23" s="26">
        <f t="shared" si="0"/>
        <v>2029</v>
      </c>
      <c r="S23" s="26">
        <f t="shared" si="0"/>
        <v>2030</v>
      </c>
      <c r="T23" s="26">
        <f t="shared" si="0"/>
        <v>2031</v>
      </c>
      <c r="U23" s="26">
        <f t="shared" si="0"/>
        <v>2032</v>
      </c>
      <c r="V23" s="26">
        <f t="shared" si="0"/>
        <v>2033</v>
      </c>
      <c r="W23" s="26">
        <f t="shared" si="0"/>
        <v>2034</v>
      </c>
      <c r="X23" s="26">
        <f t="shared" si="0"/>
        <v>2035</v>
      </c>
      <c r="Y23" s="26">
        <f t="shared" si="0"/>
        <v>2036</v>
      </c>
      <c r="Z23" s="26">
        <f t="shared" si="0"/>
        <v>2037</v>
      </c>
      <c r="AA23" s="26">
        <f t="shared" si="0"/>
        <v>2038</v>
      </c>
      <c r="AB23" s="3"/>
    </row>
    <row r="24" spans="1:28" x14ac:dyDescent="0.5">
      <c r="A24" s="21" t="s">
        <v>55</v>
      </c>
      <c r="B24" s="17">
        <f>B11</f>
        <v>10000</v>
      </c>
      <c r="C24" s="25"/>
      <c r="D24" s="25"/>
      <c r="E24" s="25"/>
      <c r="F24" s="25"/>
      <c r="G24" s="25"/>
      <c r="H24" s="25"/>
      <c r="I24" s="25"/>
      <c r="J24" s="25"/>
      <c r="K24" s="25"/>
      <c r="L24" s="2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3"/>
    </row>
    <row r="25" spans="1:28" x14ac:dyDescent="0.5">
      <c r="A25" s="21" t="s">
        <v>56</v>
      </c>
      <c r="B25" s="23">
        <f>B32</f>
        <v>-10000</v>
      </c>
      <c r="C25" s="19">
        <f t="shared" ref="C25:AA25" si="1">IF(C23&lt;=$B$23+$B$9-1,$B$12*(1+$B$13)^(C23-$B$23),0)</f>
        <v>-3900</v>
      </c>
      <c r="D25" s="19">
        <f t="shared" si="1"/>
        <v>-4095</v>
      </c>
      <c r="E25" s="19">
        <f t="shared" si="1"/>
        <v>-4299.75</v>
      </c>
      <c r="F25" s="19">
        <f t="shared" si="1"/>
        <v>-4514.7375000000002</v>
      </c>
      <c r="G25" s="19">
        <f t="shared" si="1"/>
        <v>-4740.4743749999998</v>
      </c>
      <c r="H25" s="19">
        <f t="shared" si="1"/>
        <v>-4977.4980937500004</v>
      </c>
      <c r="I25" s="19">
        <f t="shared" si="1"/>
        <v>-5226.3729984374995</v>
      </c>
      <c r="J25" s="19">
        <f t="shared" si="1"/>
        <v>-5487.6916483593759</v>
      </c>
      <c r="K25" s="19">
        <f t="shared" si="1"/>
        <v>-5762.0762307773439</v>
      </c>
      <c r="L25" s="20">
        <f t="shared" si="1"/>
        <v>-6050.1800423162113</v>
      </c>
      <c r="M25" s="19">
        <f t="shared" si="1"/>
        <v>-6352.6890444320225</v>
      </c>
      <c r="N25" s="19">
        <f t="shared" si="1"/>
        <v>-6670.3234966536238</v>
      </c>
      <c r="O25" s="19">
        <f t="shared" si="1"/>
        <v>-7003.8396714863038</v>
      </c>
      <c r="P25" s="19">
        <f t="shared" si="1"/>
        <v>-7354.0316550606203</v>
      </c>
      <c r="Q25" s="19">
        <f t="shared" si="1"/>
        <v>-7721.7332378136498</v>
      </c>
      <c r="R25" s="19">
        <f t="shared" si="1"/>
        <v>0</v>
      </c>
      <c r="S25" s="19">
        <f t="shared" si="1"/>
        <v>0</v>
      </c>
      <c r="T25" s="19">
        <f t="shared" si="1"/>
        <v>0</v>
      </c>
      <c r="U25" s="19">
        <f t="shared" si="1"/>
        <v>0</v>
      </c>
      <c r="V25" s="19">
        <f t="shared" si="1"/>
        <v>0</v>
      </c>
      <c r="W25" s="19">
        <f t="shared" si="1"/>
        <v>0</v>
      </c>
      <c r="X25" s="19">
        <f t="shared" si="1"/>
        <v>0</v>
      </c>
      <c r="Y25" s="19">
        <f t="shared" si="1"/>
        <v>0</v>
      </c>
      <c r="Z25" s="19">
        <f t="shared" si="1"/>
        <v>0</v>
      </c>
      <c r="AA25" s="19">
        <f t="shared" si="1"/>
        <v>0</v>
      </c>
      <c r="AB25" s="3"/>
    </row>
    <row r="26" spans="1:28" x14ac:dyDescent="0.5">
      <c r="A26" s="18" t="s">
        <v>57</v>
      </c>
      <c r="B26" s="23"/>
      <c r="C26" s="19">
        <f t="shared" ref="C26:AA26" si="2">C25/12</f>
        <v>-325</v>
      </c>
      <c r="D26" s="19">
        <f t="shared" si="2"/>
        <v>-341.25</v>
      </c>
      <c r="E26" s="19">
        <f t="shared" si="2"/>
        <v>-358.3125</v>
      </c>
      <c r="F26" s="19">
        <f t="shared" si="2"/>
        <v>-376.22812500000003</v>
      </c>
      <c r="G26" s="19">
        <f t="shared" si="2"/>
        <v>-395.03953124999998</v>
      </c>
      <c r="H26" s="19">
        <f t="shared" si="2"/>
        <v>-414.79150781250002</v>
      </c>
      <c r="I26" s="19">
        <f t="shared" si="2"/>
        <v>-435.53108320312498</v>
      </c>
      <c r="J26" s="19">
        <f t="shared" si="2"/>
        <v>-457.30763736328134</v>
      </c>
      <c r="K26" s="19">
        <f t="shared" si="2"/>
        <v>-480.17301923144532</v>
      </c>
      <c r="L26" s="19">
        <f t="shared" si="2"/>
        <v>-504.18167019301762</v>
      </c>
      <c r="M26" s="19">
        <f t="shared" si="2"/>
        <v>-529.39075370266858</v>
      </c>
      <c r="N26" s="19">
        <f t="shared" si="2"/>
        <v>-555.86029138780202</v>
      </c>
      <c r="O26" s="19">
        <f t="shared" si="2"/>
        <v>-583.65330595719195</v>
      </c>
      <c r="P26" s="19">
        <f t="shared" si="2"/>
        <v>-612.83597125505173</v>
      </c>
      <c r="Q26" s="19">
        <f t="shared" si="2"/>
        <v>-643.47776981780419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9">
        <f t="shared" si="2"/>
        <v>0</v>
      </c>
      <c r="X26" s="19">
        <f t="shared" si="2"/>
        <v>0</v>
      </c>
      <c r="Y26" s="19">
        <f t="shared" si="2"/>
        <v>0</v>
      </c>
      <c r="Z26" s="19">
        <f t="shared" si="2"/>
        <v>0</v>
      </c>
      <c r="AA26" s="19">
        <f t="shared" si="2"/>
        <v>0</v>
      </c>
      <c r="AB26" s="3"/>
    </row>
    <row r="27" spans="1:28" x14ac:dyDescent="0.5">
      <c r="A27" s="18" t="s">
        <v>58</v>
      </c>
      <c r="B27" s="23"/>
      <c r="C27" s="19">
        <f>C25</f>
        <v>-3900</v>
      </c>
      <c r="D27" s="19">
        <f t="shared" ref="D27:AA27" si="3">D25+C27</f>
        <v>-7995</v>
      </c>
      <c r="E27" s="19">
        <f t="shared" si="3"/>
        <v>-12294.75</v>
      </c>
      <c r="F27" s="19">
        <f t="shared" si="3"/>
        <v>-16809.487499999999</v>
      </c>
      <c r="G27" s="19">
        <f t="shared" si="3"/>
        <v>-21549.961875000001</v>
      </c>
      <c r="H27" s="19">
        <f t="shared" si="3"/>
        <v>-26527.459968750001</v>
      </c>
      <c r="I27" s="19">
        <f t="shared" si="3"/>
        <v>-31753.8329671875</v>
      </c>
      <c r="J27" s="19">
        <f t="shared" si="3"/>
        <v>-37241.524615546878</v>
      </c>
      <c r="K27" s="19">
        <f t="shared" si="3"/>
        <v>-43003.600846324218</v>
      </c>
      <c r="L27" s="19">
        <f t="shared" si="3"/>
        <v>-49053.780888640431</v>
      </c>
      <c r="M27" s="19">
        <f t="shared" si="3"/>
        <v>-55406.469933072454</v>
      </c>
      <c r="N27" s="19">
        <f t="shared" si="3"/>
        <v>-62076.79342972608</v>
      </c>
      <c r="O27" s="19">
        <f t="shared" si="3"/>
        <v>-69080.633101212385</v>
      </c>
      <c r="P27" s="19">
        <f t="shared" si="3"/>
        <v>-76434.664756273007</v>
      </c>
      <c r="Q27" s="19">
        <f t="shared" si="3"/>
        <v>-84156.397994086656</v>
      </c>
      <c r="R27" s="19">
        <f t="shared" si="3"/>
        <v>-84156.397994086656</v>
      </c>
      <c r="S27" s="19">
        <f t="shared" si="3"/>
        <v>-84156.397994086656</v>
      </c>
      <c r="T27" s="19">
        <f t="shared" si="3"/>
        <v>-84156.397994086656</v>
      </c>
      <c r="U27" s="19">
        <f t="shared" si="3"/>
        <v>-84156.397994086656</v>
      </c>
      <c r="V27" s="19">
        <f t="shared" si="3"/>
        <v>-84156.397994086656</v>
      </c>
      <c r="W27" s="19">
        <f t="shared" si="3"/>
        <v>-84156.397994086656</v>
      </c>
      <c r="X27" s="19">
        <f t="shared" si="3"/>
        <v>-84156.397994086656</v>
      </c>
      <c r="Y27" s="19">
        <f t="shared" si="3"/>
        <v>-84156.397994086656</v>
      </c>
      <c r="Z27" s="19">
        <f t="shared" si="3"/>
        <v>-84156.397994086656</v>
      </c>
      <c r="AA27" s="19">
        <f t="shared" si="3"/>
        <v>-84156.397994086656</v>
      </c>
      <c r="AB27" s="3"/>
    </row>
    <row r="28" spans="1:28" x14ac:dyDescent="0.5">
      <c r="A28" s="18" t="s">
        <v>59</v>
      </c>
      <c r="B28" s="23"/>
      <c r="C28" s="24">
        <v>1</v>
      </c>
      <c r="D28" s="24">
        <v>2</v>
      </c>
      <c r="E28" s="24">
        <v>3</v>
      </c>
      <c r="F28" s="24">
        <v>4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24">
        <v>10</v>
      </c>
      <c r="M28" s="24">
        <v>11</v>
      </c>
      <c r="N28" s="24">
        <v>12</v>
      </c>
      <c r="O28" s="24">
        <v>13</v>
      </c>
      <c r="P28" s="24">
        <v>14</v>
      </c>
      <c r="Q28" s="24">
        <v>15</v>
      </c>
      <c r="R28" s="24">
        <v>16</v>
      </c>
      <c r="S28" s="24">
        <v>17</v>
      </c>
      <c r="T28" s="24">
        <v>18</v>
      </c>
      <c r="U28" s="24">
        <v>19</v>
      </c>
      <c r="V28" s="24">
        <v>20</v>
      </c>
      <c r="W28" s="24">
        <v>21</v>
      </c>
      <c r="X28" s="24">
        <v>22</v>
      </c>
      <c r="Y28" s="24">
        <v>23</v>
      </c>
      <c r="Z28" s="24">
        <v>24</v>
      </c>
      <c r="AA28" s="24">
        <v>25</v>
      </c>
      <c r="AB28" s="3"/>
    </row>
    <row r="29" spans="1:28" x14ac:dyDescent="0.5">
      <c r="A29" s="18" t="s">
        <v>60</v>
      </c>
      <c r="B29" s="23"/>
      <c r="C29" s="16" t="str">
        <f t="shared" ref="C29:AA29" si="4">IF(AND(C27&gt;=$B$11,B27&lt;=$B$11),B28+($B$11-B27)/C25,"-")</f>
        <v>-</v>
      </c>
      <c r="D29" s="16" t="str">
        <f t="shared" si="4"/>
        <v>-</v>
      </c>
      <c r="E29" s="16" t="str">
        <f t="shared" si="4"/>
        <v>-</v>
      </c>
      <c r="F29" s="16" t="str">
        <f t="shared" si="4"/>
        <v>-</v>
      </c>
      <c r="G29" s="16" t="str">
        <f t="shared" si="4"/>
        <v>-</v>
      </c>
      <c r="H29" s="16" t="str">
        <f t="shared" si="4"/>
        <v>-</v>
      </c>
      <c r="I29" s="16" t="str">
        <f t="shared" si="4"/>
        <v>-</v>
      </c>
      <c r="J29" s="16" t="str">
        <f t="shared" si="4"/>
        <v>-</v>
      </c>
      <c r="K29" s="16" t="str">
        <f t="shared" si="4"/>
        <v>-</v>
      </c>
      <c r="L29" s="16" t="str">
        <f t="shared" si="4"/>
        <v>-</v>
      </c>
      <c r="M29" s="16" t="str">
        <f t="shared" si="4"/>
        <v>-</v>
      </c>
      <c r="N29" s="16" t="str">
        <f t="shared" si="4"/>
        <v>-</v>
      </c>
      <c r="O29" s="16" t="str">
        <f t="shared" si="4"/>
        <v>-</v>
      </c>
      <c r="P29" s="16" t="str">
        <f t="shared" si="4"/>
        <v>-</v>
      </c>
      <c r="Q29" s="16" t="str">
        <f t="shared" si="4"/>
        <v>-</v>
      </c>
      <c r="R29" s="16" t="str">
        <f t="shared" si="4"/>
        <v>-</v>
      </c>
      <c r="S29" s="16" t="str">
        <f t="shared" si="4"/>
        <v>-</v>
      </c>
      <c r="T29" s="16" t="str">
        <f t="shared" si="4"/>
        <v>-</v>
      </c>
      <c r="U29" s="16" t="str">
        <f t="shared" si="4"/>
        <v>-</v>
      </c>
      <c r="V29" s="16" t="str">
        <f t="shared" si="4"/>
        <v>-</v>
      </c>
      <c r="W29" s="16" t="str">
        <f t="shared" si="4"/>
        <v>-</v>
      </c>
      <c r="X29" s="16" t="str">
        <f t="shared" si="4"/>
        <v>-</v>
      </c>
      <c r="Y29" s="16" t="str">
        <f t="shared" si="4"/>
        <v>-</v>
      </c>
      <c r="Z29" s="16" t="str">
        <f t="shared" si="4"/>
        <v>-</v>
      </c>
      <c r="AA29" s="16" t="str">
        <f t="shared" si="4"/>
        <v>-</v>
      </c>
      <c r="AB29" s="3"/>
    </row>
    <row r="30" spans="1:28" x14ac:dyDescent="0.5">
      <c r="A30" s="21" t="s">
        <v>61</v>
      </c>
      <c r="B30" s="22"/>
      <c r="C30" s="19">
        <f t="shared" ref="C30:AA30" si="5">IF(AND(B32&lt;0,C25&gt;0),B32*$B$10,0)</f>
        <v>0</v>
      </c>
      <c r="D30" s="19">
        <f t="shared" si="5"/>
        <v>0</v>
      </c>
      <c r="E30" s="19">
        <f t="shared" si="5"/>
        <v>0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20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5"/>
        <v>0</v>
      </c>
      <c r="W30" s="19">
        <f t="shared" si="5"/>
        <v>0</v>
      </c>
      <c r="X30" s="19">
        <f t="shared" si="5"/>
        <v>0</v>
      </c>
      <c r="Y30" s="19">
        <f t="shared" si="5"/>
        <v>0</v>
      </c>
      <c r="Z30" s="19">
        <f t="shared" si="5"/>
        <v>0</v>
      </c>
      <c r="AA30" s="19">
        <f t="shared" si="5"/>
        <v>0</v>
      </c>
      <c r="AB30" s="3"/>
    </row>
    <row r="31" spans="1:28" x14ac:dyDescent="0.5">
      <c r="A31" s="21" t="s">
        <v>62</v>
      </c>
      <c r="B31" s="22"/>
      <c r="C31" s="19">
        <f t="shared" ref="C31:AA31" si="6">IF(B32&lt;0,IF(B32&lt;-C25-C30,-C25-C30,B32),0)</f>
        <v>3900</v>
      </c>
      <c r="D31" s="19">
        <f t="shared" si="6"/>
        <v>0</v>
      </c>
      <c r="E31" s="19">
        <f t="shared" si="6"/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20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0</v>
      </c>
      <c r="Y31" s="19">
        <f t="shared" si="6"/>
        <v>0</v>
      </c>
      <c r="Z31" s="19">
        <f t="shared" si="6"/>
        <v>0</v>
      </c>
      <c r="AA31" s="19">
        <f t="shared" si="6"/>
        <v>0</v>
      </c>
      <c r="AB31" s="3"/>
    </row>
    <row r="32" spans="1:28" x14ac:dyDescent="0.5">
      <c r="A32" s="21" t="s">
        <v>63</v>
      </c>
      <c r="B32" s="17">
        <f>-B24</f>
        <v>-10000</v>
      </c>
      <c r="C32" s="19">
        <f t="shared" ref="C32:AA32" si="7">IF(AND(B32-C31&lt;0,C25&gt;0),B32-C31,0)</f>
        <v>0</v>
      </c>
      <c r="D32" s="19">
        <f t="shared" si="7"/>
        <v>0</v>
      </c>
      <c r="E32" s="19">
        <f t="shared" si="7"/>
        <v>0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20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0</v>
      </c>
      <c r="U32" s="19">
        <f t="shared" si="7"/>
        <v>0</v>
      </c>
      <c r="V32" s="19">
        <f t="shared" si="7"/>
        <v>0</v>
      </c>
      <c r="W32" s="19">
        <f t="shared" si="7"/>
        <v>0</v>
      </c>
      <c r="X32" s="19">
        <f t="shared" si="7"/>
        <v>0</v>
      </c>
      <c r="Y32" s="19">
        <f t="shared" si="7"/>
        <v>0</v>
      </c>
      <c r="Z32" s="19">
        <f t="shared" si="7"/>
        <v>0</v>
      </c>
      <c r="AA32" s="19">
        <f t="shared" si="7"/>
        <v>0</v>
      </c>
      <c r="AB32" s="3"/>
    </row>
    <row r="33" spans="1:28" x14ac:dyDescent="0.5">
      <c r="A33" s="18" t="s">
        <v>64</v>
      </c>
      <c r="B33" s="17"/>
      <c r="C33" s="16" t="e">
        <f t="shared" ref="C33:AA33" si="8">IF(AND(C32&gt;=0,B32&lt;0),B28+C31/B31,"-")</f>
        <v>#DIV/0!</v>
      </c>
      <c r="D33" s="16" t="str">
        <f t="shared" si="8"/>
        <v>-</v>
      </c>
      <c r="E33" s="16" t="str">
        <f t="shared" si="8"/>
        <v>-</v>
      </c>
      <c r="F33" s="16" t="str">
        <f t="shared" si="8"/>
        <v>-</v>
      </c>
      <c r="G33" s="16" t="str">
        <f t="shared" si="8"/>
        <v>-</v>
      </c>
      <c r="H33" s="16" t="str">
        <f t="shared" si="8"/>
        <v>-</v>
      </c>
      <c r="I33" s="16" t="str">
        <f t="shared" si="8"/>
        <v>-</v>
      </c>
      <c r="J33" s="16" t="str">
        <f t="shared" si="8"/>
        <v>-</v>
      </c>
      <c r="K33" s="16" t="str">
        <f t="shared" si="8"/>
        <v>-</v>
      </c>
      <c r="L33" s="16" t="str">
        <f t="shared" si="8"/>
        <v>-</v>
      </c>
      <c r="M33" s="16" t="str">
        <f t="shared" si="8"/>
        <v>-</v>
      </c>
      <c r="N33" s="16" t="str">
        <f t="shared" si="8"/>
        <v>-</v>
      </c>
      <c r="O33" s="16" t="str">
        <f t="shared" si="8"/>
        <v>-</v>
      </c>
      <c r="P33" s="16" t="str">
        <f t="shared" si="8"/>
        <v>-</v>
      </c>
      <c r="Q33" s="16" t="str">
        <f t="shared" si="8"/>
        <v>-</v>
      </c>
      <c r="R33" s="16" t="str">
        <f t="shared" si="8"/>
        <v>-</v>
      </c>
      <c r="S33" s="16" t="str">
        <f t="shared" si="8"/>
        <v>-</v>
      </c>
      <c r="T33" s="16" t="str">
        <f t="shared" si="8"/>
        <v>-</v>
      </c>
      <c r="U33" s="16" t="str">
        <f t="shared" si="8"/>
        <v>-</v>
      </c>
      <c r="V33" s="16" t="str">
        <f t="shared" si="8"/>
        <v>-</v>
      </c>
      <c r="W33" s="16" t="str">
        <f t="shared" si="8"/>
        <v>-</v>
      </c>
      <c r="X33" s="16" t="str">
        <f t="shared" si="8"/>
        <v>-</v>
      </c>
      <c r="Y33" s="16" t="str">
        <f t="shared" si="8"/>
        <v>-</v>
      </c>
      <c r="Z33" s="16" t="str">
        <f t="shared" si="8"/>
        <v>-</v>
      </c>
      <c r="AA33" s="16" t="str">
        <f t="shared" si="8"/>
        <v>-</v>
      </c>
      <c r="AB33" s="3"/>
    </row>
    <row r="34" spans="1:28" x14ac:dyDescent="0.5">
      <c r="A34" s="15" t="s">
        <v>65</v>
      </c>
      <c r="B34" s="14"/>
      <c r="C34" s="12">
        <f t="shared" ref="C34:AA34" si="9">C25+C30+C31</f>
        <v>0</v>
      </c>
      <c r="D34" s="12">
        <f t="shared" si="9"/>
        <v>-4095</v>
      </c>
      <c r="E34" s="12">
        <f t="shared" si="9"/>
        <v>-4299.75</v>
      </c>
      <c r="F34" s="12">
        <f t="shared" si="9"/>
        <v>-4514.7375000000002</v>
      </c>
      <c r="G34" s="12">
        <f t="shared" si="9"/>
        <v>-4740.4743749999998</v>
      </c>
      <c r="H34" s="12">
        <f t="shared" si="9"/>
        <v>-4977.4980937500004</v>
      </c>
      <c r="I34" s="12">
        <f t="shared" si="9"/>
        <v>-5226.3729984374995</v>
      </c>
      <c r="J34" s="12">
        <f t="shared" si="9"/>
        <v>-5487.6916483593759</v>
      </c>
      <c r="K34" s="12">
        <f t="shared" si="9"/>
        <v>-5762.0762307773439</v>
      </c>
      <c r="L34" s="13">
        <f t="shared" si="9"/>
        <v>-6050.1800423162113</v>
      </c>
      <c r="M34" s="12">
        <f t="shared" si="9"/>
        <v>-6352.6890444320225</v>
      </c>
      <c r="N34" s="12">
        <f t="shared" si="9"/>
        <v>-6670.3234966536238</v>
      </c>
      <c r="O34" s="12">
        <f t="shared" si="9"/>
        <v>-7003.8396714863038</v>
      </c>
      <c r="P34" s="12">
        <f t="shared" si="9"/>
        <v>-7354.0316550606203</v>
      </c>
      <c r="Q34" s="12">
        <f t="shared" si="9"/>
        <v>-7721.7332378136498</v>
      </c>
      <c r="R34" s="12">
        <f t="shared" si="9"/>
        <v>0</v>
      </c>
      <c r="S34" s="12">
        <f t="shared" si="9"/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2">
        <f t="shared" si="9"/>
        <v>0</v>
      </c>
      <c r="X34" s="12">
        <f t="shared" si="9"/>
        <v>0</v>
      </c>
      <c r="Y34" s="12">
        <f t="shared" si="9"/>
        <v>0</v>
      </c>
      <c r="Z34" s="12">
        <f t="shared" si="9"/>
        <v>0</v>
      </c>
      <c r="AA34" s="12">
        <f t="shared" si="9"/>
        <v>0</v>
      </c>
      <c r="AB34" s="3"/>
    </row>
    <row r="35" spans="1:28" x14ac:dyDescent="0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/>
    </row>
    <row r="36" spans="1:28" x14ac:dyDescent="0.5">
      <c r="A36" s="9" t="s">
        <v>66</v>
      </c>
      <c r="B36" s="10" t="str">
        <f>"01. Jan."&amp; B8</f>
        <v>01. Jan.2014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"/>
    </row>
    <row r="37" spans="1:28" x14ac:dyDescent="0.5">
      <c r="A37" s="7" t="s">
        <v>48</v>
      </c>
      <c r="B37" s="6">
        <f>SUM(C37:AA37)</f>
        <v>0</v>
      </c>
      <c r="C37" s="4">
        <f t="shared" ref="C37:AA37" si="10">IF(C34&gt;0,C34/(1+$B$10)^(C23-$B$23+1),IF(AND(C32&lt;0,D25=0),C32/(1+$B$10)^(C23-$B$23+1),0))</f>
        <v>0</v>
      </c>
      <c r="D37" s="4">
        <f t="shared" si="10"/>
        <v>0</v>
      </c>
      <c r="E37" s="4">
        <f t="shared" si="10"/>
        <v>0</v>
      </c>
      <c r="F37" s="4">
        <f t="shared" si="10"/>
        <v>0</v>
      </c>
      <c r="G37" s="4">
        <f t="shared" si="10"/>
        <v>0</v>
      </c>
      <c r="H37" s="4">
        <f t="shared" si="10"/>
        <v>0</v>
      </c>
      <c r="I37" s="4">
        <f t="shared" si="10"/>
        <v>0</v>
      </c>
      <c r="J37" s="4">
        <f t="shared" si="10"/>
        <v>0</v>
      </c>
      <c r="K37" s="5">
        <f t="shared" si="10"/>
        <v>0</v>
      </c>
      <c r="L37" s="4">
        <f t="shared" si="10"/>
        <v>0</v>
      </c>
      <c r="M37" s="4">
        <f t="shared" si="10"/>
        <v>0</v>
      </c>
      <c r="N37" s="4">
        <f t="shared" si="10"/>
        <v>0</v>
      </c>
      <c r="O37" s="4">
        <f t="shared" si="10"/>
        <v>0</v>
      </c>
      <c r="P37" s="4">
        <f t="shared" si="10"/>
        <v>0</v>
      </c>
      <c r="Q37" s="4">
        <f t="shared" si="10"/>
        <v>0</v>
      </c>
      <c r="R37" s="4">
        <f t="shared" si="10"/>
        <v>0</v>
      </c>
      <c r="S37" s="4">
        <f t="shared" si="10"/>
        <v>0</v>
      </c>
      <c r="T37" s="4">
        <f t="shared" si="10"/>
        <v>0</v>
      </c>
      <c r="U37" s="4">
        <f t="shared" si="10"/>
        <v>0</v>
      </c>
      <c r="V37" s="4">
        <f t="shared" si="10"/>
        <v>0</v>
      </c>
      <c r="W37" s="4">
        <f t="shared" si="10"/>
        <v>0</v>
      </c>
      <c r="X37" s="4">
        <f t="shared" si="10"/>
        <v>0</v>
      </c>
      <c r="Y37" s="4">
        <f t="shared" si="10"/>
        <v>0</v>
      </c>
      <c r="Z37" s="4">
        <f t="shared" si="10"/>
        <v>0</v>
      </c>
      <c r="AA37" s="4">
        <f t="shared" si="10"/>
        <v>0</v>
      </c>
      <c r="AB37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Referenz</vt:lpstr>
      <vt:lpstr>Amort_A</vt:lpstr>
      <vt:lpstr>Amort_B</vt:lpstr>
      <vt:lpstr>Amort_C</vt:lpstr>
      <vt:lpstr>Amort_D</vt:lpstr>
      <vt:lpstr>Amort_E</vt:lpstr>
      <vt:lpstr>Übersicht!Druckbereich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KS_W500</dc:creator>
  <cp:lastModifiedBy>K. Saul</cp:lastModifiedBy>
  <dcterms:created xsi:type="dcterms:W3CDTF">2013-08-23T15:14:27Z</dcterms:created>
  <dcterms:modified xsi:type="dcterms:W3CDTF">2018-01-09T13:28:42Z</dcterms:modified>
</cp:coreProperties>
</file>